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senis.MEDIA2DAY\Desktop\"/>
    </mc:Choice>
  </mc:AlternateContent>
  <bookViews>
    <workbookView xWindow="0" yWindow="0" windowWidth="20145" windowHeight="9795"/>
  </bookViews>
  <sheets>
    <sheet name="Loan" sheetId="2" r:id="rId1"/>
    <sheet name="Sheet1" sheetId="1" state="hidden" r:id="rId2"/>
  </sheets>
  <definedNames>
    <definedName name="amort">Sheet1!$AW$7:$BB$259</definedName>
    <definedName name="Eur3M">Sheet1!$AG$7:$AV$259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0" i="1" l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9" i="1"/>
  <c r="F26" i="2"/>
  <c r="AH56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I7" i="1"/>
  <c r="AJ7" i="1"/>
  <c r="AB13" i="1"/>
  <c r="AB52" i="1"/>
  <c r="B24" i="2" l="1"/>
  <c r="BE8" i="1"/>
  <c r="BE9" i="1" s="1"/>
  <c r="BE10" i="1" s="1"/>
  <c r="BE11" i="1" s="1"/>
  <c r="BE12" i="1" s="1"/>
  <c r="BE13" i="1" s="1"/>
  <c r="BE14" i="1" s="1"/>
  <c r="BE15" i="1" s="1"/>
  <c r="BE16" i="1" s="1"/>
  <c r="BE17" i="1" s="1"/>
  <c r="BE18" i="1" s="1"/>
  <c r="BE19" i="1" s="1"/>
  <c r="BE20" i="1" s="1"/>
  <c r="BE21" i="1" s="1"/>
  <c r="BE22" i="1" s="1"/>
  <c r="BE23" i="1" s="1"/>
  <c r="BE24" i="1" s="1"/>
  <c r="BE25" i="1" s="1"/>
  <c r="BE26" i="1" s="1"/>
  <c r="BE27" i="1" s="1"/>
  <c r="BE28" i="1" s="1"/>
  <c r="BE29" i="1" s="1"/>
  <c r="BE30" i="1" s="1"/>
  <c r="BE31" i="1" s="1"/>
  <c r="BE32" i="1" s="1"/>
  <c r="BE33" i="1" s="1"/>
  <c r="BE34" i="1" s="1"/>
  <c r="BE35" i="1" s="1"/>
  <c r="BE36" i="1" s="1"/>
  <c r="BE37" i="1" s="1"/>
  <c r="BE38" i="1" s="1"/>
  <c r="BE39" i="1" s="1"/>
  <c r="BE40" i="1" s="1"/>
  <c r="BE41" i="1" s="1"/>
  <c r="BE42" i="1" s="1"/>
  <c r="BE43" i="1" s="1"/>
  <c r="BE44" i="1" s="1"/>
  <c r="BE45" i="1" s="1"/>
  <c r="BE46" i="1" s="1"/>
  <c r="BE47" i="1" s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D8" i="1"/>
  <c r="BD9" i="1" s="1"/>
  <c r="BD10" i="1" s="1"/>
  <c r="BD11" i="1" s="1"/>
  <c r="BD12" i="1" s="1"/>
  <c r="BD13" i="1" s="1"/>
  <c r="BD14" i="1" s="1"/>
  <c r="BD15" i="1" s="1"/>
  <c r="BD16" i="1" s="1"/>
  <c r="BD17" i="1" s="1"/>
  <c r="BD18" i="1" s="1"/>
  <c r="BD19" i="1" s="1"/>
  <c r="BD20" i="1" s="1"/>
  <c r="BD21" i="1" s="1"/>
  <c r="BD22" i="1" s="1"/>
  <c r="BD23" i="1" s="1"/>
  <c r="BD24" i="1" s="1"/>
  <c r="BD25" i="1" s="1"/>
  <c r="BD26" i="1" s="1"/>
  <c r="BD27" i="1" s="1"/>
  <c r="BD28" i="1" s="1"/>
  <c r="BD29" i="1" s="1"/>
  <c r="BD30" i="1" s="1"/>
  <c r="BD31" i="1" s="1"/>
  <c r="BD32" i="1" s="1"/>
  <c r="BD33" i="1" s="1"/>
  <c r="BD34" i="1" s="1"/>
  <c r="BD35" i="1" s="1"/>
  <c r="BD36" i="1" s="1"/>
  <c r="BD37" i="1" s="1"/>
  <c r="BD38" i="1" s="1"/>
  <c r="BD39" i="1" s="1"/>
  <c r="AH2" i="1"/>
  <c r="AB53" i="1"/>
  <c r="AC23" i="1"/>
  <c r="AC27" i="1"/>
  <c r="AC22" i="1"/>
  <c r="AB22" i="1"/>
  <c r="AB23" i="1" s="1"/>
  <c r="AB24" i="1" s="1"/>
  <c r="AB25" i="1" s="1"/>
  <c r="AB26" i="1" s="1"/>
  <c r="AB27" i="1" s="1"/>
  <c r="AB28" i="1" s="1"/>
  <c r="AB29" i="1" s="1"/>
  <c r="AB30" i="1" s="1"/>
  <c r="AB31" i="1" s="1"/>
  <c r="AC31" i="1" s="1"/>
  <c r="AC21" i="1"/>
  <c r="AA23" i="1"/>
  <c r="AA24" i="1" s="1"/>
  <c r="AA25" i="1" s="1"/>
  <c r="AA26" i="1" s="1"/>
  <c r="AA27" i="1" s="1"/>
  <c r="AA28" i="1" s="1"/>
  <c r="AA29" i="1" s="1"/>
  <c r="AA30" i="1" s="1"/>
  <c r="AA31" i="1" s="1"/>
  <c r="AA32" i="1" s="1"/>
  <c r="AB14" i="1"/>
  <c r="AB55" i="1" s="1"/>
  <c r="AB9" i="1"/>
  <c r="AB8" i="1"/>
  <c r="AX7" i="1" s="1"/>
  <c r="AW7" i="1"/>
  <c r="AF7" i="1"/>
  <c r="AM52" i="1"/>
  <c r="BF7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G8" i="1"/>
  <c r="N45" i="1"/>
  <c r="N46" i="1" s="1"/>
  <c r="N47" i="1" s="1"/>
  <c r="N41" i="1"/>
  <c r="AI8" i="1" l="1"/>
  <c r="AJ8" i="1"/>
  <c r="AC30" i="1"/>
  <c r="AC26" i="1"/>
  <c r="F17" i="2"/>
  <c r="AB15" i="1" s="1"/>
  <c r="AB16" i="1" s="1"/>
  <c r="F10" i="2"/>
  <c r="AB11" i="1" s="1"/>
  <c r="AB12" i="1" s="1"/>
  <c r="AO2" i="1" s="1"/>
  <c r="F11" i="2" s="1"/>
  <c r="AG9" i="1"/>
  <c r="AW8" i="1"/>
  <c r="AC29" i="1"/>
  <c r="AC25" i="1"/>
  <c r="AB10" i="1"/>
  <c r="AY7" i="1" s="1"/>
  <c r="AF8" i="1"/>
  <c r="BF8" i="1"/>
  <c r="AA41" i="1"/>
  <c r="B23" i="1"/>
  <c r="AC43" i="1" s="1"/>
  <c r="N42" i="1"/>
  <c r="B18" i="1"/>
  <c r="B17" i="1"/>
  <c r="B12" i="1"/>
  <c r="B8" i="1"/>
  <c r="G6" i="1"/>
  <c r="C6" i="1" s="1"/>
  <c r="D6" i="1"/>
  <c r="T5" i="1"/>
  <c r="T6" i="1" s="1"/>
  <c r="T7" i="1" s="1"/>
  <c r="E5" i="1"/>
  <c r="L5" i="1" s="1"/>
  <c r="C5" i="1"/>
  <c r="B5" i="1"/>
  <c r="H5" i="1" s="1"/>
  <c r="J3" i="1"/>
  <c r="I3" i="1"/>
  <c r="AK8" i="1" l="1"/>
  <c r="AW9" i="1"/>
  <c r="AI9" i="1"/>
  <c r="AJ9" i="1"/>
  <c r="AG10" i="1"/>
  <c r="AF10" i="1" s="1"/>
  <c r="AF9" i="1"/>
  <c r="F12" i="2"/>
  <c r="AZ7" i="1"/>
  <c r="BA7" i="1" s="1"/>
  <c r="BB7" i="1" s="1"/>
  <c r="AX8" i="1" s="1"/>
  <c r="AH3" i="1"/>
  <c r="O34" i="1"/>
  <c r="O18" i="1"/>
  <c r="O14" i="1"/>
  <c r="O26" i="1"/>
  <c r="O9" i="1"/>
  <c r="AC39" i="1"/>
  <c r="O30" i="1"/>
  <c r="O38" i="1"/>
  <c r="O22" i="1"/>
  <c r="O5" i="1"/>
  <c r="Q5" i="1" s="1"/>
  <c r="O37" i="1"/>
  <c r="O33" i="1"/>
  <c r="O29" i="1"/>
  <c r="O25" i="1"/>
  <c r="O21" i="1"/>
  <c r="O17" i="1"/>
  <c r="O13" i="1"/>
  <c r="O8" i="1"/>
  <c r="O41" i="1"/>
  <c r="O40" i="1"/>
  <c r="O36" i="1"/>
  <c r="O32" i="1"/>
  <c r="O28" i="1"/>
  <c r="O24" i="1"/>
  <c r="O20" i="1"/>
  <c r="O16" i="1"/>
  <c r="O12" i="1"/>
  <c r="AC41" i="1"/>
  <c r="E6" i="1"/>
  <c r="L6" i="1" s="1"/>
  <c r="O39" i="1"/>
  <c r="O35" i="1"/>
  <c r="O31" i="1"/>
  <c r="O27" i="1"/>
  <c r="O23" i="1"/>
  <c r="O19" i="1"/>
  <c r="O15" i="1"/>
  <c r="O11" i="1"/>
  <c r="O42" i="1"/>
  <c r="BF9" i="1"/>
  <c r="N48" i="1"/>
  <c r="N49" i="1" s="1"/>
  <c r="O43" i="1"/>
  <c r="O46" i="1"/>
  <c r="AC42" i="1"/>
  <c r="AC38" i="1"/>
  <c r="AC35" i="1"/>
  <c r="AC37" i="1"/>
  <c r="AC44" i="1"/>
  <c r="AC40" i="1"/>
  <c r="AC36" i="1"/>
  <c r="O45" i="1"/>
  <c r="O44" i="1"/>
  <c r="O6" i="1"/>
  <c r="O10" i="1"/>
  <c r="O7" i="1"/>
  <c r="B16" i="1"/>
  <c r="G7" i="1"/>
  <c r="G8" i="1" s="1"/>
  <c r="G9" i="1" s="1"/>
  <c r="C9" i="1" s="1"/>
  <c r="D7" i="1"/>
  <c r="D8" i="1" s="1"/>
  <c r="D9" i="1" s="1"/>
  <c r="D10" i="1" s="1"/>
  <c r="F5" i="1"/>
  <c r="T8" i="1"/>
  <c r="AK9" i="1" l="1"/>
  <c r="AW10" i="1"/>
  <c r="AI10" i="1"/>
  <c r="AJ10" i="1"/>
  <c r="AG11" i="1"/>
  <c r="N50" i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O304" i="1" s="1"/>
  <c r="AT11" i="1"/>
  <c r="AN28" i="1"/>
  <c r="AQ31" i="1"/>
  <c r="AT38" i="1"/>
  <c r="AN47" i="1"/>
  <c r="AN31" i="1"/>
  <c r="AN15" i="1"/>
  <c r="AQ46" i="1"/>
  <c r="AQ30" i="1"/>
  <c r="AQ14" i="1"/>
  <c r="AT45" i="1"/>
  <c r="AT29" i="1"/>
  <c r="AT13" i="1"/>
  <c r="AN32" i="1"/>
  <c r="AQ35" i="1"/>
  <c r="AT34" i="1"/>
  <c r="AN50" i="1"/>
  <c r="AN34" i="1"/>
  <c r="AN18" i="1"/>
  <c r="AQ49" i="1"/>
  <c r="AQ33" i="1"/>
  <c r="AQ17" i="1"/>
  <c r="AT48" i="1"/>
  <c r="AT32" i="1"/>
  <c r="AT16" i="1"/>
  <c r="AN24" i="1"/>
  <c r="AQ15" i="1"/>
  <c r="AN53" i="1"/>
  <c r="AN37" i="1"/>
  <c r="AN21" i="1"/>
  <c r="AQ52" i="1"/>
  <c r="AQ36" i="1"/>
  <c r="AQ20" i="1"/>
  <c r="AT51" i="1"/>
  <c r="AT35" i="1"/>
  <c r="AT19" i="1"/>
  <c r="AN36" i="1"/>
  <c r="AQ39" i="1"/>
  <c r="AT42" i="1"/>
  <c r="AN51" i="1"/>
  <c r="AN35" i="1"/>
  <c r="AN19" i="1"/>
  <c r="AQ50" i="1"/>
  <c r="AQ34" i="1"/>
  <c r="AQ18" i="1"/>
  <c r="AT49" i="1"/>
  <c r="AT33" i="1"/>
  <c r="AT17" i="1"/>
  <c r="AN44" i="1"/>
  <c r="AQ47" i="1"/>
  <c r="AT46" i="1"/>
  <c r="AN7" i="1"/>
  <c r="AN38" i="1"/>
  <c r="AN22" i="1"/>
  <c r="AQ53" i="1"/>
  <c r="AQ37" i="1"/>
  <c r="AT52" i="1"/>
  <c r="AT36" i="1"/>
  <c r="AT20" i="1"/>
  <c r="AQ27" i="1"/>
  <c r="AN41" i="1"/>
  <c r="AQ40" i="1"/>
  <c r="AQ8" i="1"/>
  <c r="AN16" i="1"/>
  <c r="AQ19" i="1"/>
  <c r="AT22" i="1"/>
  <c r="AN43" i="1"/>
  <c r="AN27" i="1"/>
  <c r="AN11" i="1"/>
  <c r="AQ42" i="1"/>
  <c r="AQ26" i="1"/>
  <c r="AQ10" i="1"/>
  <c r="AT41" i="1"/>
  <c r="AT25" i="1"/>
  <c r="AT9" i="1"/>
  <c r="AN20" i="1"/>
  <c r="AQ23" i="1"/>
  <c r="AT26" i="1"/>
  <c r="AN46" i="1"/>
  <c r="AN30" i="1"/>
  <c r="AN14" i="1"/>
  <c r="AQ45" i="1"/>
  <c r="AQ29" i="1"/>
  <c r="AQ13" i="1"/>
  <c r="AT44" i="1"/>
  <c r="AT28" i="1"/>
  <c r="AT12" i="1"/>
  <c r="AN8" i="1"/>
  <c r="AT50" i="1"/>
  <c r="AN49" i="1"/>
  <c r="AN33" i="1"/>
  <c r="AN17" i="1"/>
  <c r="AQ48" i="1"/>
  <c r="AQ32" i="1"/>
  <c r="AQ16" i="1"/>
  <c r="AT47" i="1"/>
  <c r="AT31" i="1"/>
  <c r="AT15" i="1"/>
  <c r="AN48" i="1"/>
  <c r="AQ51" i="1"/>
  <c r="AQ11" i="1"/>
  <c r="AT10" i="1"/>
  <c r="AN39" i="1"/>
  <c r="AN23" i="1"/>
  <c r="AQ7" i="1"/>
  <c r="AQ38" i="1"/>
  <c r="AQ22" i="1"/>
  <c r="AT53" i="1"/>
  <c r="AT37" i="1"/>
  <c r="AT21" i="1"/>
  <c r="AN52" i="1"/>
  <c r="AN12" i="1"/>
  <c r="AT7" i="1"/>
  <c r="AT14" i="1"/>
  <c r="AN42" i="1"/>
  <c r="AN26" i="1"/>
  <c r="AN10" i="1"/>
  <c r="AQ41" i="1"/>
  <c r="AQ25" i="1"/>
  <c r="AQ9" i="1"/>
  <c r="AT40" i="1"/>
  <c r="AT24" i="1"/>
  <c r="AT8" i="1"/>
  <c r="AQ43" i="1"/>
  <c r="AT30" i="1"/>
  <c r="AN45" i="1"/>
  <c r="AN29" i="1"/>
  <c r="AN13" i="1"/>
  <c r="AQ44" i="1"/>
  <c r="AR44" i="1" s="1"/>
  <c r="AS44" i="1" s="1"/>
  <c r="AQ28" i="1"/>
  <c r="AQ12" i="1"/>
  <c r="AT43" i="1"/>
  <c r="AT27" i="1"/>
  <c r="AQ21" i="1"/>
  <c r="AN40" i="1"/>
  <c r="AT18" i="1"/>
  <c r="AN25" i="1"/>
  <c r="AN9" i="1"/>
  <c r="AQ24" i="1"/>
  <c r="AT39" i="1"/>
  <c r="AT23" i="1"/>
  <c r="AY8" i="1"/>
  <c r="AZ8" i="1"/>
  <c r="P5" i="1"/>
  <c r="R5" i="1" s="1"/>
  <c r="AG12" i="1"/>
  <c r="AF11" i="1"/>
  <c r="F6" i="1"/>
  <c r="BF10" i="1"/>
  <c r="C8" i="1"/>
  <c r="C7" i="1"/>
  <c r="G10" i="1"/>
  <c r="C10" i="1" s="1"/>
  <c r="O47" i="1"/>
  <c r="E7" i="1"/>
  <c r="D11" i="1"/>
  <c r="T9" i="1"/>
  <c r="AO26" i="1" l="1"/>
  <c r="AP26" i="1" s="1"/>
  <c r="AO17" i="1"/>
  <c r="AP17" i="1" s="1"/>
  <c r="AO20" i="1"/>
  <c r="AP20" i="1" s="1"/>
  <c r="AO27" i="1"/>
  <c r="AP27" i="1" s="1"/>
  <c r="AK10" i="1"/>
  <c r="AW12" i="1"/>
  <c r="AI12" i="1"/>
  <c r="AJ12" i="1"/>
  <c r="AW11" i="1"/>
  <c r="AI11" i="1"/>
  <c r="AJ11" i="1"/>
  <c r="AO13" i="1"/>
  <c r="AP13" i="1" s="1"/>
  <c r="AO12" i="1"/>
  <c r="AP12" i="1" s="1"/>
  <c r="AO23" i="1"/>
  <c r="AP23" i="1" s="1"/>
  <c r="AO8" i="1"/>
  <c r="AP8" i="1" s="1"/>
  <c r="AO30" i="1"/>
  <c r="AP30" i="1" s="1"/>
  <c r="AO16" i="1"/>
  <c r="AP16" i="1" s="1"/>
  <c r="AU30" i="1"/>
  <c r="AV30" i="1" s="1"/>
  <c r="AU23" i="1"/>
  <c r="AV23" i="1" s="1"/>
  <c r="AU27" i="1"/>
  <c r="AV27" i="1" s="1"/>
  <c r="AU40" i="1"/>
  <c r="AV40" i="1" s="1"/>
  <c r="AO48" i="1"/>
  <c r="AP48" i="1" s="1"/>
  <c r="AO25" i="1"/>
  <c r="AP25" i="1" s="1"/>
  <c r="AO10" i="1"/>
  <c r="AP10" i="1" s="1"/>
  <c r="AO14" i="1"/>
  <c r="AP14" i="1" s="1"/>
  <c r="AO11" i="1"/>
  <c r="AP11" i="1" s="1"/>
  <c r="AU39" i="1"/>
  <c r="AV39" i="1" s="1"/>
  <c r="AU43" i="1"/>
  <c r="AV43" i="1" s="1"/>
  <c r="AR43" i="1"/>
  <c r="AS43" i="1" s="1"/>
  <c r="AU47" i="1"/>
  <c r="AV47" i="1" s="1"/>
  <c r="AR10" i="1"/>
  <c r="AS10" i="1" s="1"/>
  <c r="AR37" i="1"/>
  <c r="AS37" i="1" s="1"/>
  <c r="AU17" i="1"/>
  <c r="AV17" i="1" s="1"/>
  <c r="AO51" i="1"/>
  <c r="AP51" i="1" s="1"/>
  <c r="AR36" i="1"/>
  <c r="AS36" i="1" s="1"/>
  <c r="AU32" i="1"/>
  <c r="AV32" i="1" s="1"/>
  <c r="AR46" i="1"/>
  <c r="AS46" i="1" s="1"/>
  <c r="AR24" i="1"/>
  <c r="AS24" i="1" s="1"/>
  <c r="AR12" i="1"/>
  <c r="AS12" i="1" s="1"/>
  <c r="AU8" i="1"/>
  <c r="AV8" i="1" s="1"/>
  <c r="AR25" i="1"/>
  <c r="AS25" i="1" s="1"/>
  <c r="AO42" i="1"/>
  <c r="AP42" i="1" s="1"/>
  <c r="AO52" i="1"/>
  <c r="AP52" i="1" s="1"/>
  <c r="AR22" i="1"/>
  <c r="AS22" i="1" s="1"/>
  <c r="AO39" i="1"/>
  <c r="AP39" i="1" s="1"/>
  <c r="AR16" i="1"/>
  <c r="AS16" i="1" s="1"/>
  <c r="AO33" i="1"/>
  <c r="AP33" i="1" s="1"/>
  <c r="AU12" i="1"/>
  <c r="AV12" i="1" s="1"/>
  <c r="AR29" i="1"/>
  <c r="AS29" i="1" s="1"/>
  <c r="AO46" i="1"/>
  <c r="AP46" i="1" s="1"/>
  <c r="AU9" i="1"/>
  <c r="AV9" i="1" s="1"/>
  <c r="AR26" i="1"/>
  <c r="AS26" i="1" s="1"/>
  <c r="AO43" i="1"/>
  <c r="AP43" i="1" s="1"/>
  <c r="AR8" i="1"/>
  <c r="AS8" i="1" s="1"/>
  <c r="AU20" i="1"/>
  <c r="AV20" i="1" s="1"/>
  <c r="AU46" i="1"/>
  <c r="AV46" i="1" s="1"/>
  <c r="AU33" i="1"/>
  <c r="AV33" i="1" s="1"/>
  <c r="AR50" i="1"/>
  <c r="AS50" i="1" s="1"/>
  <c r="AU42" i="1"/>
  <c r="AV42" i="1" s="1"/>
  <c r="AU35" i="1"/>
  <c r="AV35" i="1" s="1"/>
  <c r="AR52" i="1"/>
  <c r="AS52" i="1" s="1"/>
  <c r="AR15" i="1"/>
  <c r="AS15" i="1" s="1"/>
  <c r="AU48" i="1"/>
  <c r="AV48" i="1" s="1"/>
  <c r="AO18" i="1"/>
  <c r="AP18" i="1" s="1"/>
  <c r="AR35" i="1"/>
  <c r="AS35" i="1" s="1"/>
  <c r="AU45" i="1"/>
  <c r="AV45" i="1" s="1"/>
  <c r="AO15" i="1"/>
  <c r="AP15" i="1" s="1"/>
  <c r="AR31" i="1"/>
  <c r="AS31" i="1" s="1"/>
  <c r="AU18" i="1"/>
  <c r="AV18" i="1" s="1"/>
  <c r="AR9" i="1"/>
  <c r="AS9" i="1" s="1"/>
  <c r="AR51" i="1"/>
  <c r="AS51" i="1" s="1"/>
  <c r="AR13" i="1"/>
  <c r="AS13" i="1" s="1"/>
  <c r="AR27" i="1"/>
  <c r="AS27" i="1" s="1"/>
  <c r="AR34" i="1"/>
  <c r="AS34" i="1" s="1"/>
  <c r="AU19" i="1"/>
  <c r="AV19" i="1" s="1"/>
  <c r="AR49" i="1"/>
  <c r="AS49" i="1" s="1"/>
  <c r="AU34" i="1"/>
  <c r="AV34" i="1" s="1"/>
  <c r="AU29" i="1"/>
  <c r="AV29" i="1" s="1"/>
  <c r="AU38" i="1"/>
  <c r="AV38" i="1" s="1"/>
  <c r="AO40" i="1"/>
  <c r="AP40" i="1" s="1"/>
  <c r="AO29" i="1"/>
  <c r="AP29" i="1" s="1"/>
  <c r="AO9" i="1"/>
  <c r="AP9" i="1" s="1"/>
  <c r="AR21" i="1"/>
  <c r="AS21" i="1" s="1"/>
  <c r="AR28" i="1"/>
  <c r="AS28" i="1" s="1"/>
  <c r="AO45" i="1"/>
  <c r="AP45" i="1" s="1"/>
  <c r="AU24" i="1"/>
  <c r="AV24" i="1" s="1"/>
  <c r="AR41" i="1"/>
  <c r="AS41" i="1" s="1"/>
  <c r="AU14" i="1"/>
  <c r="AV14" i="1" s="1"/>
  <c r="AU21" i="1"/>
  <c r="AV21" i="1" s="1"/>
  <c r="AR38" i="1"/>
  <c r="AS38" i="1" s="1"/>
  <c r="AU10" i="1"/>
  <c r="AV10" i="1" s="1"/>
  <c r="AU15" i="1"/>
  <c r="AV15" i="1" s="1"/>
  <c r="AR32" i="1"/>
  <c r="AS32" i="1" s="1"/>
  <c r="AO49" i="1"/>
  <c r="AP49" i="1" s="1"/>
  <c r="AU28" i="1"/>
  <c r="AV28" i="1" s="1"/>
  <c r="AR45" i="1"/>
  <c r="AS45" i="1" s="1"/>
  <c r="AU26" i="1"/>
  <c r="AV26" i="1" s="1"/>
  <c r="AU25" i="1"/>
  <c r="AV25" i="1" s="1"/>
  <c r="AR42" i="1"/>
  <c r="AS42" i="1" s="1"/>
  <c r="AU22" i="1"/>
  <c r="AV22" i="1" s="1"/>
  <c r="AR40" i="1"/>
  <c r="AS40" i="1" s="1"/>
  <c r="AU36" i="1"/>
  <c r="AV36" i="1" s="1"/>
  <c r="AO22" i="1"/>
  <c r="AP22" i="1" s="1"/>
  <c r="AR47" i="1"/>
  <c r="AS47" i="1" s="1"/>
  <c r="AU49" i="1"/>
  <c r="AV49" i="1" s="1"/>
  <c r="AO19" i="1"/>
  <c r="AP19" i="1" s="1"/>
  <c r="AR39" i="1"/>
  <c r="AS39" i="1" s="1"/>
  <c r="AU51" i="1"/>
  <c r="AV51" i="1" s="1"/>
  <c r="AO21" i="1"/>
  <c r="AP21" i="1" s="1"/>
  <c r="AO24" i="1"/>
  <c r="AP24" i="1" s="1"/>
  <c r="AR17" i="1"/>
  <c r="AS17" i="1" s="1"/>
  <c r="AO34" i="1"/>
  <c r="AP34" i="1" s="1"/>
  <c r="AO32" i="1"/>
  <c r="AP32" i="1" s="1"/>
  <c r="AR14" i="1"/>
  <c r="AS14" i="1" s="1"/>
  <c r="AO31" i="1"/>
  <c r="AP31" i="1" s="1"/>
  <c r="AO28" i="1"/>
  <c r="AP28" i="1" s="1"/>
  <c r="AU37" i="1"/>
  <c r="AV37" i="1" s="1"/>
  <c r="AR11" i="1"/>
  <c r="AS11" i="1" s="1"/>
  <c r="AU31" i="1"/>
  <c r="AV31" i="1" s="1"/>
  <c r="AR48" i="1"/>
  <c r="AS48" i="1" s="1"/>
  <c r="AU50" i="1"/>
  <c r="AV50" i="1" s="1"/>
  <c r="AU44" i="1"/>
  <c r="AV44" i="1" s="1"/>
  <c r="AR23" i="1"/>
  <c r="AS23" i="1" s="1"/>
  <c r="AU41" i="1"/>
  <c r="AV41" i="1" s="1"/>
  <c r="AR19" i="1"/>
  <c r="AS19" i="1" s="1"/>
  <c r="AO41" i="1"/>
  <c r="AP41" i="1" s="1"/>
  <c r="AU52" i="1"/>
  <c r="AV52" i="1" s="1"/>
  <c r="AO38" i="1"/>
  <c r="AP38" i="1" s="1"/>
  <c r="AO44" i="1"/>
  <c r="AP44" i="1" s="1"/>
  <c r="AR18" i="1"/>
  <c r="AS18" i="1" s="1"/>
  <c r="AO35" i="1"/>
  <c r="AP35" i="1" s="1"/>
  <c r="AO36" i="1"/>
  <c r="AP36" i="1" s="1"/>
  <c r="AR20" i="1"/>
  <c r="AS20" i="1" s="1"/>
  <c r="AO37" i="1"/>
  <c r="AP37" i="1" s="1"/>
  <c r="AU16" i="1"/>
  <c r="AV16" i="1" s="1"/>
  <c r="AR33" i="1"/>
  <c r="AS33" i="1" s="1"/>
  <c r="AO50" i="1"/>
  <c r="AP50" i="1" s="1"/>
  <c r="AU13" i="1"/>
  <c r="AV13" i="1" s="1"/>
  <c r="AR30" i="1"/>
  <c r="AS30" i="1" s="1"/>
  <c r="AO47" i="1"/>
  <c r="AP47" i="1" s="1"/>
  <c r="AU11" i="1"/>
  <c r="AV11" i="1" s="1"/>
  <c r="BA8" i="1"/>
  <c r="BB8" i="1" s="1"/>
  <c r="AX9" i="1" s="1"/>
  <c r="AZ9" i="1" s="1"/>
  <c r="AG13" i="1"/>
  <c r="AF12" i="1"/>
  <c r="G11" i="1"/>
  <c r="G12" i="1" s="1"/>
  <c r="BF11" i="1"/>
  <c r="F7" i="1"/>
  <c r="L7" i="1"/>
  <c r="E8" i="1"/>
  <c r="L8" i="1" s="1"/>
  <c r="O48" i="1"/>
  <c r="S5" i="1"/>
  <c r="D12" i="1"/>
  <c r="T10" i="1"/>
  <c r="AK11" i="1" l="1"/>
  <c r="AK12" i="1"/>
  <c r="AW13" i="1"/>
  <c r="AI13" i="1"/>
  <c r="AJ13" i="1"/>
  <c r="AY9" i="1"/>
  <c r="BA9" i="1" s="1"/>
  <c r="BB9" i="1" s="1"/>
  <c r="AX10" i="1" s="1"/>
  <c r="AG14" i="1"/>
  <c r="AF13" i="1"/>
  <c r="C11" i="1"/>
  <c r="E9" i="1"/>
  <c r="L9" i="1" s="1"/>
  <c r="F8" i="1"/>
  <c r="BF12" i="1"/>
  <c r="O49" i="1"/>
  <c r="U5" i="1"/>
  <c r="H6" i="1"/>
  <c r="M6" i="1" s="1"/>
  <c r="Q6" i="1" s="1"/>
  <c r="D13" i="1"/>
  <c r="T11" i="1"/>
  <c r="C12" i="1"/>
  <c r="G13" i="1"/>
  <c r="AK13" i="1" l="1"/>
  <c r="AW14" i="1"/>
  <c r="AI14" i="1"/>
  <c r="AJ14" i="1"/>
  <c r="AY10" i="1"/>
  <c r="AZ10" i="1"/>
  <c r="E10" i="1"/>
  <c r="L10" i="1" s="1"/>
  <c r="F9" i="1"/>
  <c r="AG15" i="1"/>
  <c r="AF14" i="1"/>
  <c r="BF13" i="1"/>
  <c r="O50" i="1"/>
  <c r="G14" i="1"/>
  <c r="C13" i="1"/>
  <c r="D14" i="1"/>
  <c r="T12" i="1"/>
  <c r="P6" i="1"/>
  <c r="AK14" i="1" l="1"/>
  <c r="E11" i="1"/>
  <c r="L11" i="1" s="1"/>
  <c r="AW15" i="1"/>
  <c r="AI15" i="1"/>
  <c r="AJ15" i="1"/>
  <c r="BA10" i="1"/>
  <c r="BB10" i="1" s="1"/>
  <c r="AX11" i="1" s="1"/>
  <c r="AY11" i="1" s="1"/>
  <c r="F10" i="1"/>
  <c r="AG16" i="1"/>
  <c r="AF15" i="1"/>
  <c r="BF14" i="1"/>
  <c r="X6" i="1"/>
  <c r="W6" i="1"/>
  <c r="O51" i="1"/>
  <c r="T13" i="1"/>
  <c r="D15" i="1"/>
  <c r="F11" i="1"/>
  <c r="E12" i="1"/>
  <c r="L12" i="1" s="1"/>
  <c r="R6" i="1"/>
  <c r="G15" i="1"/>
  <c r="C14" i="1"/>
  <c r="AK15" i="1" l="1"/>
  <c r="AL15" i="1"/>
  <c r="AW16" i="1"/>
  <c r="AI16" i="1"/>
  <c r="AJ16" i="1"/>
  <c r="AZ11" i="1"/>
  <c r="BA11" i="1" s="1"/>
  <c r="BB11" i="1" s="1"/>
  <c r="AX12" i="1" s="1"/>
  <c r="AG17" i="1"/>
  <c r="AF16" i="1"/>
  <c r="BF15" i="1"/>
  <c r="O52" i="1"/>
  <c r="S6" i="1"/>
  <c r="T14" i="1"/>
  <c r="G16" i="1"/>
  <c r="C15" i="1"/>
  <c r="F12" i="1"/>
  <c r="E13" i="1"/>
  <c r="L13" i="1" s="1"/>
  <c r="D16" i="1"/>
  <c r="AK16" i="1" l="1"/>
  <c r="AL16" i="1"/>
  <c r="AW17" i="1"/>
  <c r="AI17" i="1"/>
  <c r="AJ17" i="1"/>
  <c r="AY12" i="1"/>
  <c r="AZ12" i="1"/>
  <c r="AG18" i="1"/>
  <c r="AF17" i="1"/>
  <c r="BF16" i="1"/>
  <c r="BF17" i="1" s="1"/>
  <c r="O53" i="1"/>
  <c r="D17" i="1"/>
  <c r="G17" i="1"/>
  <c r="C16" i="1"/>
  <c r="U6" i="1"/>
  <c r="H7" i="1"/>
  <c r="M7" i="1" s="1"/>
  <c r="Q7" i="1" s="1"/>
  <c r="F13" i="1"/>
  <c r="E14" i="1"/>
  <c r="L14" i="1" s="1"/>
  <c r="T15" i="1"/>
  <c r="AK17" i="1" l="1"/>
  <c r="AL17" i="1"/>
  <c r="AW18" i="1"/>
  <c r="AJ18" i="1"/>
  <c r="AI18" i="1"/>
  <c r="BA12" i="1"/>
  <c r="BB12" i="1" s="1"/>
  <c r="AX13" i="1" s="1"/>
  <c r="AY13" i="1" s="1"/>
  <c r="BF18" i="1"/>
  <c r="AG19" i="1"/>
  <c r="AF18" i="1"/>
  <c r="O54" i="1"/>
  <c r="T16" i="1"/>
  <c r="P7" i="1"/>
  <c r="F14" i="1"/>
  <c r="E15" i="1"/>
  <c r="L15" i="1" s="1"/>
  <c r="D18" i="1"/>
  <c r="G18" i="1"/>
  <c r="C17" i="1"/>
  <c r="AK18" i="1" l="1"/>
  <c r="AL18" i="1"/>
  <c r="AW19" i="1"/>
  <c r="AI19" i="1"/>
  <c r="AJ19" i="1"/>
  <c r="AZ13" i="1"/>
  <c r="BA13" i="1" s="1"/>
  <c r="BB13" i="1" s="1"/>
  <c r="AX14" i="1" s="1"/>
  <c r="AZ14" i="1" s="1"/>
  <c r="BF19" i="1"/>
  <c r="AG20" i="1"/>
  <c r="AF19" i="1"/>
  <c r="X7" i="1"/>
  <c r="W7" i="1"/>
  <c r="O55" i="1"/>
  <c r="F15" i="1"/>
  <c r="E16" i="1"/>
  <c r="L16" i="1" s="1"/>
  <c r="C18" i="1"/>
  <c r="G19" i="1"/>
  <c r="D19" i="1"/>
  <c r="R7" i="1"/>
  <c r="T17" i="1"/>
  <c r="AK19" i="1" l="1"/>
  <c r="AL19" i="1"/>
  <c r="AW20" i="1"/>
  <c r="AI20" i="1"/>
  <c r="AJ20" i="1"/>
  <c r="AY14" i="1"/>
  <c r="BA14" i="1" s="1"/>
  <c r="BB14" i="1" s="1"/>
  <c r="AX15" i="1" s="1"/>
  <c r="BF20" i="1"/>
  <c r="AG21" i="1"/>
  <c r="AF20" i="1"/>
  <c r="O56" i="1"/>
  <c r="T18" i="1"/>
  <c r="S7" i="1"/>
  <c r="D20" i="1"/>
  <c r="C19" i="1"/>
  <c r="G20" i="1"/>
  <c r="F16" i="1"/>
  <c r="E17" i="1"/>
  <c r="L17" i="1" s="1"/>
  <c r="AK20" i="1" l="1"/>
  <c r="AL20" i="1"/>
  <c r="AW21" i="1"/>
  <c r="AI21" i="1"/>
  <c r="AJ21" i="1"/>
  <c r="AY15" i="1"/>
  <c r="AZ15" i="1"/>
  <c r="BF21" i="1"/>
  <c r="AG22" i="1"/>
  <c r="AF21" i="1"/>
  <c r="O57" i="1"/>
  <c r="U7" i="1"/>
  <c r="H8" i="1"/>
  <c r="M8" i="1" s="1"/>
  <c r="Q8" i="1" s="1"/>
  <c r="F17" i="1"/>
  <c r="E18" i="1"/>
  <c r="L18" i="1" s="1"/>
  <c r="G21" i="1"/>
  <c r="C20" i="1"/>
  <c r="D21" i="1"/>
  <c r="T19" i="1"/>
  <c r="AK21" i="1" l="1"/>
  <c r="AL21" i="1"/>
  <c r="AW22" i="1"/>
  <c r="AI22" i="1"/>
  <c r="AJ22" i="1"/>
  <c r="BA15" i="1"/>
  <c r="BB15" i="1" s="1"/>
  <c r="AX16" i="1" s="1"/>
  <c r="AY16" i="1" s="1"/>
  <c r="BF22" i="1"/>
  <c r="AG23" i="1"/>
  <c r="AF22" i="1"/>
  <c r="O58" i="1"/>
  <c r="T20" i="1"/>
  <c r="D22" i="1"/>
  <c r="P8" i="1"/>
  <c r="G22" i="1"/>
  <c r="C21" i="1"/>
  <c r="F18" i="1"/>
  <c r="E19" i="1"/>
  <c r="L19" i="1" s="1"/>
  <c r="AK22" i="1" l="1"/>
  <c r="AL22" i="1"/>
  <c r="AW23" i="1"/>
  <c r="AI23" i="1"/>
  <c r="AJ23" i="1"/>
  <c r="AZ16" i="1"/>
  <c r="BA16" i="1" s="1"/>
  <c r="BB16" i="1" s="1"/>
  <c r="AX17" i="1" s="1"/>
  <c r="BF23" i="1"/>
  <c r="AG24" i="1"/>
  <c r="AF23" i="1"/>
  <c r="X8" i="1"/>
  <c r="W8" i="1"/>
  <c r="O59" i="1"/>
  <c r="D23" i="1"/>
  <c r="C22" i="1"/>
  <c r="G23" i="1"/>
  <c r="F19" i="1"/>
  <c r="E20" i="1"/>
  <c r="L20" i="1" s="1"/>
  <c r="R8" i="1"/>
  <c r="T21" i="1"/>
  <c r="AK23" i="1" l="1"/>
  <c r="AL23" i="1"/>
  <c r="AW24" i="1"/>
  <c r="AI24" i="1"/>
  <c r="AJ24" i="1"/>
  <c r="AY17" i="1"/>
  <c r="AZ17" i="1"/>
  <c r="BF24" i="1"/>
  <c r="AG25" i="1"/>
  <c r="AF24" i="1"/>
  <c r="O60" i="1"/>
  <c r="D24" i="1"/>
  <c r="T22" i="1"/>
  <c r="S8" i="1"/>
  <c r="F20" i="1"/>
  <c r="E21" i="1"/>
  <c r="L21" i="1" s="1"/>
  <c r="C23" i="1"/>
  <c r="G24" i="1"/>
  <c r="AK24" i="1" l="1"/>
  <c r="AL24" i="1"/>
  <c r="AW25" i="1"/>
  <c r="AI25" i="1"/>
  <c r="AJ25" i="1"/>
  <c r="BA17" i="1"/>
  <c r="BB17" i="1" s="1"/>
  <c r="AX18" i="1" s="1"/>
  <c r="BF25" i="1"/>
  <c r="AG26" i="1"/>
  <c r="AF25" i="1"/>
  <c r="O61" i="1"/>
  <c r="D25" i="1"/>
  <c r="F21" i="1"/>
  <c r="E22" i="1"/>
  <c r="L22" i="1" s="1"/>
  <c r="T23" i="1"/>
  <c r="G25" i="1"/>
  <c r="C24" i="1"/>
  <c r="U8" i="1"/>
  <c r="H9" i="1"/>
  <c r="M9" i="1" s="1"/>
  <c r="Q9" i="1" s="1"/>
  <c r="AK25" i="1" l="1"/>
  <c r="AL25" i="1"/>
  <c r="AW26" i="1"/>
  <c r="AI26" i="1"/>
  <c r="AJ26" i="1"/>
  <c r="AY18" i="1"/>
  <c r="AZ18" i="1"/>
  <c r="BF26" i="1"/>
  <c r="AG27" i="1"/>
  <c r="AF26" i="1"/>
  <c r="O62" i="1"/>
  <c r="G26" i="1"/>
  <c r="C25" i="1"/>
  <c r="F22" i="1"/>
  <c r="E23" i="1"/>
  <c r="L23" i="1" s="1"/>
  <c r="D26" i="1"/>
  <c r="T24" i="1"/>
  <c r="P9" i="1"/>
  <c r="AK26" i="1" l="1"/>
  <c r="AL26" i="1"/>
  <c r="AW27" i="1"/>
  <c r="AI27" i="1"/>
  <c r="AJ27" i="1"/>
  <c r="BA18" i="1"/>
  <c r="BB18" i="1" s="1"/>
  <c r="AX19" i="1" s="1"/>
  <c r="BF27" i="1"/>
  <c r="AG28" i="1"/>
  <c r="AF27" i="1"/>
  <c r="X9" i="1"/>
  <c r="W9" i="1"/>
  <c r="O63" i="1"/>
  <c r="T25" i="1"/>
  <c r="D27" i="1"/>
  <c r="R9" i="1"/>
  <c r="F23" i="1"/>
  <c r="E24" i="1"/>
  <c r="L24" i="1" s="1"/>
  <c r="C26" i="1"/>
  <c r="G27" i="1"/>
  <c r="AK27" i="1" l="1"/>
  <c r="AL27" i="1"/>
  <c r="AW28" i="1"/>
  <c r="AI28" i="1"/>
  <c r="AJ28" i="1"/>
  <c r="AY19" i="1"/>
  <c r="AZ19" i="1"/>
  <c r="BF28" i="1"/>
  <c r="AG29" i="1"/>
  <c r="AF28" i="1"/>
  <c r="O64" i="1"/>
  <c r="D28" i="1"/>
  <c r="S9" i="1"/>
  <c r="T26" i="1"/>
  <c r="C27" i="1"/>
  <c r="G28" i="1"/>
  <c r="F24" i="1"/>
  <c r="E25" i="1"/>
  <c r="L25" i="1" s="1"/>
  <c r="AK28" i="1" l="1"/>
  <c r="AL28" i="1"/>
  <c r="AW29" i="1"/>
  <c r="AI29" i="1"/>
  <c r="AJ29" i="1"/>
  <c r="BA19" i="1"/>
  <c r="BB19" i="1" s="1"/>
  <c r="AX20" i="1" s="1"/>
  <c r="AY20" i="1" s="1"/>
  <c r="BF29" i="1"/>
  <c r="AG30" i="1"/>
  <c r="AF29" i="1"/>
  <c r="O65" i="1"/>
  <c r="D29" i="1"/>
  <c r="T27" i="1"/>
  <c r="F25" i="1"/>
  <c r="E26" i="1"/>
  <c r="L26" i="1" s="1"/>
  <c r="C28" i="1"/>
  <c r="G29" i="1"/>
  <c r="H10" i="1"/>
  <c r="M10" i="1" s="1"/>
  <c r="Q10" i="1" s="1"/>
  <c r="U9" i="1"/>
  <c r="AK29" i="1" l="1"/>
  <c r="AL29" i="1"/>
  <c r="AW30" i="1"/>
  <c r="AI30" i="1"/>
  <c r="AJ30" i="1"/>
  <c r="AZ20" i="1"/>
  <c r="BA20" i="1" s="1"/>
  <c r="BB20" i="1" s="1"/>
  <c r="AX21" i="1" s="1"/>
  <c r="AZ21" i="1" s="1"/>
  <c r="BF30" i="1"/>
  <c r="AG31" i="1"/>
  <c r="AF30" i="1"/>
  <c r="O66" i="1"/>
  <c r="P10" i="1"/>
  <c r="T28" i="1"/>
  <c r="D30" i="1"/>
  <c r="G30" i="1"/>
  <c r="C29" i="1"/>
  <c r="F26" i="1"/>
  <c r="E27" i="1"/>
  <c r="L27" i="1" s="1"/>
  <c r="AK30" i="1" l="1"/>
  <c r="AL30" i="1"/>
  <c r="AW31" i="1"/>
  <c r="AI31" i="1"/>
  <c r="AJ31" i="1"/>
  <c r="AY21" i="1"/>
  <c r="BA21" i="1" s="1"/>
  <c r="BB21" i="1" s="1"/>
  <c r="AX22" i="1" s="1"/>
  <c r="BF31" i="1"/>
  <c r="AG32" i="1"/>
  <c r="AF31" i="1"/>
  <c r="X10" i="1"/>
  <c r="W10" i="1"/>
  <c r="O67" i="1"/>
  <c r="D31" i="1"/>
  <c r="T29" i="1"/>
  <c r="F27" i="1"/>
  <c r="E28" i="1"/>
  <c r="L28" i="1" s="1"/>
  <c r="R10" i="1"/>
  <c r="S10" i="1" s="1"/>
  <c r="C30" i="1"/>
  <c r="G31" i="1"/>
  <c r="AK31" i="1" l="1"/>
  <c r="AL31" i="1"/>
  <c r="AW32" i="1"/>
  <c r="AI32" i="1"/>
  <c r="AJ32" i="1"/>
  <c r="AZ22" i="1"/>
  <c r="AY22" i="1"/>
  <c r="BF32" i="1"/>
  <c r="AG33" i="1"/>
  <c r="AF32" i="1"/>
  <c r="O68" i="1"/>
  <c r="F28" i="1"/>
  <c r="E29" i="1"/>
  <c r="L29" i="1" s="1"/>
  <c r="T30" i="1"/>
  <c r="U10" i="1"/>
  <c r="H11" i="1"/>
  <c r="M11" i="1" s="1"/>
  <c r="Q11" i="1" s="1"/>
  <c r="D32" i="1"/>
  <c r="C31" i="1"/>
  <c r="G32" i="1"/>
  <c r="AK32" i="1" l="1"/>
  <c r="AL32" i="1"/>
  <c r="AW33" i="1"/>
  <c r="AI33" i="1"/>
  <c r="AJ33" i="1"/>
  <c r="BA22" i="1"/>
  <c r="BB22" i="1" s="1"/>
  <c r="AX23" i="1" s="1"/>
  <c r="AY23" i="1" s="1"/>
  <c r="BF33" i="1"/>
  <c r="AG34" i="1"/>
  <c r="AF33" i="1"/>
  <c r="O69" i="1"/>
  <c r="D33" i="1"/>
  <c r="G33" i="1"/>
  <c r="C32" i="1"/>
  <c r="P11" i="1"/>
  <c r="F29" i="1"/>
  <c r="E30" i="1"/>
  <c r="L30" i="1" s="1"/>
  <c r="T31" i="1"/>
  <c r="AK33" i="1" l="1"/>
  <c r="AL33" i="1"/>
  <c r="AW34" i="1"/>
  <c r="AJ34" i="1"/>
  <c r="AI34" i="1"/>
  <c r="AZ23" i="1"/>
  <c r="BA23" i="1" s="1"/>
  <c r="BB23" i="1" s="1"/>
  <c r="AX24" i="1" s="1"/>
  <c r="BF34" i="1"/>
  <c r="AG35" i="1"/>
  <c r="AF34" i="1"/>
  <c r="X11" i="1"/>
  <c r="W11" i="1"/>
  <c r="O70" i="1"/>
  <c r="T32" i="1"/>
  <c r="D34" i="1"/>
  <c r="G34" i="1"/>
  <c r="C33" i="1"/>
  <c r="F30" i="1"/>
  <c r="E31" i="1"/>
  <c r="L31" i="1" s="1"/>
  <c r="R11" i="1"/>
  <c r="S11" i="1" s="1"/>
  <c r="AK34" i="1" l="1"/>
  <c r="AL34" i="1"/>
  <c r="AW35" i="1"/>
  <c r="AI35" i="1"/>
  <c r="AJ35" i="1"/>
  <c r="AZ24" i="1"/>
  <c r="AY24" i="1"/>
  <c r="BF35" i="1"/>
  <c r="AG36" i="1"/>
  <c r="AF35" i="1"/>
  <c r="O71" i="1"/>
  <c r="H12" i="1"/>
  <c r="M12" i="1" s="1"/>
  <c r="Q12" i="1" s="1"/>
  <c r="U11" i="1"/>
  <c r="C34" i="1"/>
  <c r="G35" i="1"/>
  <c r="T33" i="1"/>
  <c r="F31" i="1"/>
  <c r="E32" i="1"/>
  <c r="L32" i="1" s="1"/>
  <c r="D35" i="1"/>
  <c r="BA24" i="1" l="1"/>
  <c r="BB24" i="1" s="1"/>
  <c r="AX25" i="1" s="1"/>
  <c r="AY25" i="1" s="1"/>
  <c r="AK35" i="1"/>
  <c r="AL35" i="1"/>
  <c r="AW36" i="1"/>
  <c r="AI36" i="1"/>
  <c r="AJ36" i="1"/>
  <c r="BF36" i="1"/>
  <c r="AG37" i="1"/>
  <c r="AF36" i="1"/>
  <c r="O72" i="1"/>
  <c r="T34" i="1"/>
  <c r="F32" i="1"/>
  <c r="E33" i="1"/>
  <c r="L33" i="1" s="1"/>
  <c r="C35" i="1"/>
  <c r="G36" i="1"/>
  <c r="D36" i="1"/>
  <c r="P12" i="1"/>
  <c r="AZ25" i="1" l="1"/>
  <c r="BA25" i="1" s="1"/>
  <c r="BB25" i="1" s="1"/>
  <c r="AX26" i="1" s="1"/>
  <c r="AY26" i="1" s="1"/>
  <c r="AK36" i="1"/>
  <c r="AL36" i="1"/>
  <c r="AW37" i="1"/>
  <c r="AI37" i="1"/>
  <c r="AJ37" i="1"/>
  <c r="BF37" i="1"/>
  <c r="AG38" i="1"/>
  <c r="AF37" i="1"/>
  <c r="X12" i="1"/>
  <c r="W12" i="1"/>
  <c r="O73" i="1"/>
  <c r="C36" i="1"/>
  <c r="G37" i="1"/>
  <c r="R12" i="1"/>
  <c r="S12" i="1" s="1"/>
  <c r="T35" i="1"/>
  <c r="D37" i="1"/>
  <c r="F33" i="1"/>
  <c r="E34" i="1"/>
  <c r="L34" i="1" s="1"/>
  <c r="AZ26" i="1" l="1"/>
  <c r="AK37" i="1"/>
  <c r="AL37" i="1"/>
  <c r="AW38" i="1"/>
  <c r="AI38" i="1"/>
  <c r="AJ38" i="1"/>
  <c r="BA26" i="1"/>
  <c r="BB26" i="1" s="1"/>
  <c r="AX27" i="1" s="1"/>
  <c r="AY27" i="1" s="1"/>
  <c r="BF38" i="1"/>
  <c r="AG39" i="1"/>
  <c r="AF38" i="1"/>
  <c r="O74" i="1"/>
  <c r="G38" i="1"/>
  <c r="C37" i="1"/>
  <c r="T36" i="1"/>
  <c r="F34" i="1"/>
  <c r="E35" i="1"/>
  <c r="L35" i="1" s="1"/>
  <c r="D38" i="1"/>
  <c r="U12" i="1"/>
  <c r="H13" i="1"/>
  <c r="M13" i="1" s="1"/>
  <c r="Q13" i="1" s="1"/>
  <c r="AK38" i="1" l="1"/>
  <c r="AL38" i="1"/>
  <c r="AW39" i="1"/>
  <c r="AI39" i="1"/>
  <c r="AJ39" i="1"/>
  <c r="AZ27" i="1"/>
  <c r="BA27" i="1" s="1"/>
  <c r="BB27" i="1" s="1"/>
  <c r="AX28" i="1" s="1"/>
  <c r="AY28" i="1" s="1"/>
  <c r="BF39" i="1"/>
  <c r="AG40" i="1"/>
  <c r="AF39" i="1"/>
  <c r="O75" i="1"/>
  <c r="D39" i="1"/>
  <c r="T37" i="1"/>
  <c r="C38" i="1"/>
  <c r="G39" i="1"/>
  <c r="P13" i="1"/>
  <c r="F35" i="1"/>
  <c r="E36" i="1"/>
  <c r="L36" i="1" s="1"/>
  <c r="AK39" i="1" l="1"/>
  <c r="AL39" i="1"/>
  <c r="AW40" i="1"/>
  <c r="AI40" i="1"/>
  <c r="AJ40" i="1"/>
  <c r="AZ28" i="1"/>
  <c r="BA28" i="1" s="1"/>
  <c r="BB28" i="1" s="1"/>
  <c r="AX29" i="1" s="1"/>
  <c r="BF40" i="1"/>
  <c r="AG41" i="1"/>
  <c r="AF40" i="1"/>
  <c r="X13" i="1"/>
  <c r="W13" i="1"/>
  <c r="O76" i="1"/>
  <c r="C39" i="1"/>
  <c r="G40" i="1"/>
  <c r="D40" i="1"/>
  <c r="F36" i="1"/>
  <c r="E37" i="1"/>
  <c r="L37" i="1" s="1"/>
  <c r="R13" i="1"/>
  <c r="S13" i="1" s="1"/>
  <c r="T38" i="1"/>
  <c r="AK40" i="1" l="1"/>
  <c r="AL40" i="1"/>
  <c r="AW41" i="1"/>
  <c r="AI41" i="1"/>
  <c r="AJ41" i="1"/>
  <c r="AZ29" i="1"/>
  <c r="AY29" i="1"/>
  <c r="BF41" i="1"/>
  <c r="AG42" i="1"/>
  <c r="AF41" i="1"/>
  <c r="O77" i="1"/>
  <c r="F37" i="1"/>
  <c r="E38" i="1"/>
  <c r="L38" i="1" s="1"/>
  <c r="T39" i="1"/>
  <c r="D41" i="1"/>
  <c r="G41" i="1"/>
  <c r="C40" i="1"/>
  <c r="U13" i="1"/>
  <c r="H14" i="1"/>
  <c r="M14" i="1" s="1"/>
  <c r="Q14" i="1" s="1"/>
  <c r="AK41" i="1" l="1"/>
  <c r="AL41" i="1"/>
  <c r="AW42" i="1"/>
  <c r="AI42" i="1"/>
  <c r="AJ42" i="1"/>
  <c r="BA29" i="1"/>
  <c r="BB29" i="1" s="1"/>
  <c r="AX30" i="1" s="1"/>
  <c r="AY30" i="1" s="1"/>
  <c r="BF42" i="1"/>
  <c r="AG43" i="1"/>
  <c r="AF42" i="1"/>
  <c r="O78" i="1"/>
  <c r="F38" i="1"/>
  <c r="E39" i="1"/>
  <c r="L39" i="1" s="1"/>
  <c r="D42" i="1"/>
  <c r="G42" i="1"/>
  <c r="C41" i="1"/>
  <c r="P14" i="1"/>
  <c r="T40" i="1"/>
  <c r="AK42" i="1" l="1"/>
  <c r="AL42" i="1"/>
  <c r="AW43" i="1"/>
  <c r="AI43" i="1"/>
  <c r="AJ43" i="1"/>
  <c r="AZ30" i="1"/>
  <c r="BA30" i="1" s="1"/>
  <c r="BB30" i="1" s="1"/>
  <c r="AX31" i="1" s="1"/>
  <c r="AY31" i="1" s="1"/>
  <c r="BF43" i="1"/>
  <c r="AG44" i="1"/>
  <c r="AF43" i="1"/>
  <c r="X14" i="1"/>
  <c r="W14" i="1"/>
  <c r="O79" i="1"/>
  <c r="F39" i="1"/>
  <c r="E40" i="1"/>
  <c r="L40" i="1" s="1"/>
  <c r="D43" i="1"/>
  <c r="T41" i="1"/>
  <c r="R14" i="1"/>
  <c r="S14" i="1" s="1"/>
  <c r="C42" i="1"/>
  <c r="G43" i="1"/>
  <c r="AK43" i="1" l="1"/>
  <c r="AL43" i="1"/>
  <c r="AW44" i="1"/>
  <c r="AI44" i="1"/>
  <c r="AJ44" i="1"/>
  <c r="AZ31" i="1"/>
  <c r="BA31" i="1" s="1"/>
  <c r="BB31" i="1" s="1"/>
  <c r="AX32" i="1" s="1"/>
  <c r="BF44" i="1"/>
  <c r="AG45" i="1"/>
  <c r="AF44" i="1"/>
  <c r="O80" i="1"/>
  <c r="G44" i="1"/>
  <c r="C43" i="1"/>
  <c r="U14" i="1"/>
  <c r="H15" i="1"/>
  <c r="M15" i="1" s="1"/>
  <c r="Q15" i="1" s="1"/>
  <c r="F40" i="1"/>
  <c r="E41" i="1"/>
  <c r="L41" i="1" s="1"/>
  <c r="T42" i="1"/>
  <c r="D44" i="1"/>
  <c r="AK44" i="1" l="1"/>
  <c r="AL44" i="1"/>
  <c r="AW45" i="1"/>
  <c r="AI45" i="1"/>
  <c r="AJ45" i="1"/>
  <c r="AY32" i="1"/>
  <c r="AZ32" i="1"/>
  <c r="BF45" i="1"/>
  <c r="AG46" i="1"/>
  <c r="AF45" i="1"/>
  <c r="O81" i="1"/>
  <c r="D45" i="1"/>
  <c r="C44" i="1"/>
  <c r="G45" i="1"/>
  <c r="T43" i="1"/>
  <c r="F41" i="1"/>
  <c r="E42" i="1"/>
  <c r="L42" i="1" s="1"/>
  <c r="P15" i="1"/>
  <c r="AK45" i="1" l="1"/>
  <c r="AL45" i="1"/>
  <c r="AW46" i="1"/>
  <c r="AI46" i="1"/>
  <c r="AJ46" i="1"/>
  <c r="BA32" i="1"/>
  <c r="BB32" i="1" s="1"/>
  <c r="AX33" i="1" s="1"/>
  <c r="AY33" i="1" s="1"/>
  <c r="BF46" i="1"/>
  <c r="AG47" i="1"/>
  <c r="AF46" i="1"/>
  <c r="X15" i="1"/>
  <c r="W15" i="1"/>
  <c r="O82" i="1"/>
  <c r="F42" i="1"/>
  <c r="E43" i="1"/>
  <c r="L43" i="1" s="1"/>
  <c r="T44" i="1"/>
  <c r="C45" i="1"/>
  <c r="G46" i="1"/>
  <c r="R15" i="1"/>
  <c r="S15" i="1" s="1"/>
  <c r="D46" i="1"/>
  <c r="AK46" i="1" l="1"/>
  <c r="AL46" i="1"/>
  <c r="AW47" i="1"/>
  <c r="AI47" i="1"/>
  <c r="AJ47" i="1"/>
  <c r="AZ33" i="1"/>
  <c r="BA33" i="1" s="1"/>
  <c r="BB33" i="1" s="1"/>
  <c r="AX34" i="1" s="1"/>
  <c r="AY34" i="1" s="1"/>
  <c r="BF47" i="1"/>
  <c r="AG48" i="1"/>
  <c r="AF47" i="1"/>
  <c r="O83" i="1"/>
  <c r="U15" i="1"/>
  <c r="H16" i="1"/>
  <c r="M16" i="1" s="1"/>
  <c r="Q16" i="1" s="1"/>
  <c r="T45" i="1"/>
  <c r="D47" i="1"/>
  <c r="C46" i="1"/>
  <c r="G47" i="1"/>
  <c r="F43" i="1"/>
  <c r="E44" i="1"/>
  <c r="L44" i="1" s="1"/>
  <c r="AK47" i="1" l="1"/>
  <c r="AL47" i="1"/>
  <c r="AW48" i="1"/>
  <c r="AI48" i="1"/>
  <c r="AJ48" i="1"/>
  <c r="AZ34" i="1"/>
  <c r="BA34" i="1" s="1"/>
  <c r="BB34" i="1" s="1"/>
  <c r="AX35" i="1" s="1"/>
  <c r="BF48" i="1"/>
  <c r="AG49" i="1"/>
  <c r="AF48" i="1"/>
  <c r="O84" i="1"/>
  <c r="F44" i="1"/>
  <c r="E45" i="1"/>
  <c r="L45" i="1" s="1"/>
  <c r="G48" i="1"/>
  <c r="C47" i="1"/>
  <c r="P16" i="1"/>
  <c r="D48" i="1"/>
  <c r="T46" i="1"/>
  <c r="AK48" i="1" l="1"/>
  <c r="AL48" i="1"/>
  <c r="AW49" i="1"/>
  <c r="AI49" i="1"/>
  <c r="AJ49" i="1"/>
  <c r="AZ35" i="1"/>
  <c r="AY35" i="1"/>
  <c r="BF49" i="1"/>
  <c r="AG50" i="1"/>
  <c r="AF49" i="1"/>
  <c r="W16" i="1"/>
  <c r="X16" i="1"/>
  <c r="O85" i="1"/>
  <c r="D49" i="1"/>
  <c r="F45" i="1"/>
  <c r="E46" i="1"/>
  <c r="L46" i="1" s="1"/>
  <c r="T47" i="1"/>
  <c r="R16" i="1"/>
  <c r="S16" i="1" s="1"/>
  <c r="C48" i="1"/>
  <c r="G49" i="1"/>
  <c r="AK49" i="1" l="1"/>
  <c r="AL49" i="1"/>
  <c r="AW50" i="1"/>
  <c r="AI50" i="1"/>
  <c r="AJ50" i="1"/>
  <c r="BA35" i="1"/>
  <c r="BB35" i="1" s="1"/>
  <c r="AX36" i="1" s="1"/>
  <c r="AY36" i="1" s="1"/>
  <c r="BF50" i="1"/>
  <c r="AG51" i="1"/>
  <c r="AF50" i="1"/>
  <c r="O86" i="1"/>
  <c r="F46" i="1"/>
  <c r="E47" i="1"/>
  <c r="L47" i="1" s="1"/>
  <c r="U16" i="1"/>
  <c r="H17" i="1"/>
  <c r="M17" i="1" s="1"/>
  <c r="Q17" i="1" s="1"/>
  <c r="C49" i="1"/>
  <c r="G50" i="1"/>
  <c r="T48" i="1"/>
  <c r="D50" i="1"/>
  <c r="AK50" i="1" l="1"/>
  <c r="AL50" i="1"/>
  <c r="AW51" i="1"/>
  <c r="AJ51" i="1"/>
  <c r="AI51" i="1"/>
  <c r="AZ36" i="1"/>
  <c r="BA36" i="1" s="1"/>
  <c r="BB36" i="1" s="1"/>
  <c r="AX37" i="1" s="1"/>
  <c r="AY37" i="1" s="1"/>
  <c r="BF51" i="1"/>
  <c r="AG52" i="1"/>
  <c r="AF51" i="1"/>
  <c r="O87" i="1"/>
  <c r="D51" i="1"/>
  <c r="P17" i="1"/>
  <c r="C50" i="1"/>
  <c r="G51" i="1"/>
  <c r="F47" i="1"/>
  <c r="E48" i="1"/>
  <c r="L48" i="1" s="1"/>
  <c r="T49" i="1"/>
  <c r="AK51" i="1" l="1"/>
  <c r="AL51" i="1"/>
  <c r="AW52" i="1"/>
  <c r="AI52" i="1"/>
  <c r="AJ52" i="1"/>
  <c r="AL52" i="1" s="1"/>
  <c r="AZ37" i="1"/>
  <c r="BA37" i="1" s="1"/>
  <c r="BB37" i="1" s="1"/>
  <c r="AX38" i="1" s="1"/>
  <c r="AY38" i="1" s="1"/>
  <c r="BF52" i="1"/>
  <c r="AG53" i="1"/>
  <c r="AF52" i="1"/>
  <c r="X17" i="1"/>
  <c r="W17" i="1"/>
  <c r="O88" i="1"/>
  <c r="R17" i="1"/>
  <c r="S17" i="1" s="1"/>
  <c r="T50" i="1"/>
  <c r="D52" i="1"/>
  <c r="F48" i="1"/>
  <c r="E49" i="1"/>
  <c r="L49" i="1" s="1"/>
  <c r="G52" i="1"/>
  <c r="C51" i="1"/>
  <c r="AK52" i="1" l="1"/>
  <c r="AW53" i="1"/>
  <c r="AI53" i="1"/>
  <c r="AJ53" i="1"/>
  <c r="AZ38" i="1"/>
  <c r="BA38" i="1" s="1"/>
  <c r="BB38" i="1" s="1"/>
  <c r="AX39" i="1" s="1"/>
  <c r="AY39" i="1" s="1"/>
  <c r="BF53" i="1"/>
  <c r="AG54" i="1"/>
  <c r="AF53" i="1"/>
  <c r="O89" i="1"/>
  <c r="C52" i="1"/>
  <c r="G53" i="1"/>
  <c r="F49" i="1"/>
  <c r="E50" i="1"/>
  <c r="L50" i="1" s="1"/>
  <c r="T51" i="1"/>
  <c r="U17" i="1"/>
  <c r="H18" i="1"/>
  <c r="M18" i="1" s="1"/>
  <c r="Q18" i="1" s="1"/>
  <c r="D53" i="1"/>
  <c r="AK53" i="1" l="1"/>
  <c r="AL53" i="1"/>
  <c r="AW54" i="1"/>
  <c r="AI54" i="1"/>
  <c r="AJ54" i="1"/>
  <c r="AZ39" i="1"/>
  <c r="BA39" i="1" s="1"/>
  <c r="BB39" i="1" s="1"/>
  <c r="AX40" i="1" s="1"/>
  <c r="BF54" i="1"/>
  <c r="AG55" i="1"/>
  <c r="AF54" i="1"/>
  <c r="O90" i="1"/>
  <c r="T52" i="1"/>
  <c r="P18" i="1"/>
  <c r="F50" i="1"/>
  <c r="E51" i="1"/>
  <c r="L51" i="1" s="1"/>
  <c r="C53" i="1"/>
  <c r="G54" i="1"/>
  <c r="D54" i="1"/>
  <c r="AK54" i="1" l="1"/>
  <c r="AL54" i="1"/>
  <c r="AW55" i="1"/>
  <c r="AI55" i="1"/>
  <c r="AZ40" i="1"/>
  <c r="AY40" i="1"/>
  <c r="BF55" i="1"/>
  <c r="AG56" i="1"/>
  <c r="AW56" i="1" s="1"/>
  <c r="AF55" i="1"/>
  <c r="X18" i="1"/>
  <c r="W18" i="1"/>
  <c r="O91" i="1"/>
  <c r="R18" i="1"/>
  <c r="S18" i="1" s="1"/>
  <c r="D55" i="1"/>
  <c r="F51" i="1"/>
  <c r="E52" i="1"/>
  <c r="L52" i="1" s="1"/>
  <c r="C54" i="1"/>
  <c r="G55" i="1"/>
  <c r="T53" i="1"/>
  <c r="AI56" i="1" l="1"/>
  <c r="BA40" i="1"/>
  <c r="BB40" i="1" s="1"/>
  <c r="AX41" i="1" s="1"/>
  <c r="AY41" i="1" s="1"/>
  <c r="BF56" i="1"/>
  <c r="AG57" i="1"/>
  <c r="AF56" i="1"/>
  <c r="O92" i="1"/>
  <c r="T54" i="1"/>
  <c r="G56" i="1"/>
  <c r="C55" i="1"/>
  <c r="D56" i="1"/>
  <c r="H19" i="1"/>
  <c r="M19" i="1" s="1"/>
  <c r="Q19" i="1" s="1"/>
  <c r="U18" i="1"/>
  <c r="F52" i="1"/>
  <c r="E53" i="1"/>
  <c r="L53" i="1" s="1"/>
  <c r="AW57" i="1" l="1"/>
  <c r="AZ41" i="1"/>
  <c r="BA41" i="1" s="1"/>
  <c r="BB41" i="1" s="1"/>
  <c r="AX42" i="1" s="1"/>
  <c r="AY42" i="1" s="1"/>
  <c r="BF57" i="1"/>
  <c r="AG58" i="1"/>
  <c r="AF57" i="1"/>
  <c r="O93" i="1"/>
  <c r="F53" i="1"/>
  <c r="E54" i="1"/>
  <c r="L54" i="1" s="1"/>
  <c r="T55" i="1"/>
  <c r="D57" i="1"/>
  <c r="P19" i="1"/>
  <c r="C56" i="1"/>
  <c r="G57" i="1"/>
  <c r="AW58" i="1" l="1"/>
  <c r="AJ58" i="1"/>
  <c r="AK58" i="1" s="1"/>
  <c r="AZ42" i="1"/>
  <c r="BA42" i="1" s="1"/>
  <c r="BB42" i="1" s="1"/>
  <c r="AX43" i="1" s="1"/>
  <c r="AY43" i="1" s="1"/>
  <c r="AG59" i="1"/>
  <c r="AJ59" i="1" s="1"/>
  <c r="AK59" i="1" s="1"/>
  <c r="AF58" i="1"/>
  <c r="W19" i="1"/>
  <c r="X19" i="1"/>
  <c r="O94" i="1"/>
  <c r="T56" i="1"/>
  <c r="F54" i="1"/>
  <c r="E55" i="1"/>
  <c r="L55" i="1" s="1"/>
  <c r="R19" i="1"/>
  <c r="S19" i="1" s="1"/>
  <c r="C57" i="1"/>
  <c r="G58" i="1"/>
  <c r="D58" i="1"/>
  <c r="AZ43" i="1" l="1"/>
  <c r="BA43" i="1" s="1"/>
  <c r="BB43" i="1" s="1"/>
  <c r="AX44" i="1" s="1"/>
  <c r="AY44" i="1" s="1"/>
  <c r="AG60" i="1"/>
  <c r="AJ60" i="1" s="1"/>
  <c r="AK60" i="1" s="1"/>
  <c r="AW59" i="1"/>
  <c r="AF59" i="1"/>
  <c r="O95" i="1"/>
  <c r="C58" i="1"/>
  <c r="G59" i="1"/>
  <c r="F55" i="1"/>
  <c r="E56" i="1"/>
  <c r="L56" i="1" s="1"/>
  <c r="T57" i="1"/>
  <c r="D59" i="1"/>
  <c r="U19" i="1"/>
  <c r="H20" i="1"/>
  <c r="M20" i="1" s="1"/>
  <c r="Q20" i="1" s="1"/>
  <c r="AZ44" i="1" l="1"/>
  <c r="BA44" i="1" s="1"/>
  <c r="BB44" i="1" s="1"/>
  <c r="AX45" i="1" s="1"/>
  <c r="AY45" i="1" s="1"/>
  <c r="AG61" i="1"/>
  <c r="AJ61" i="1" s="1"/>
  <c r="AK61" i="1" s="1"/>
  <c r="AW60" i="1"/>
  <c r="AF60" i="1"/>
  <c r="O96" i="1"/>
  <c r="P20" i="1"/>
  <c r="D60" i="1"/>
  <c r="F56" i="1"/>
  <c r="E57" i="1"/>
  <c r="L57" i="1" s="1"/>
  <c r="G60" i="1"/>
  <c r="C59" i="1"/>
  <c r="T58" i="1"/>
  <c r="AZ45" i="1" l="1"/>
  <c r="BA45" i="1" s="1"/>
  <c r="BB45" i="1" s="1"/>
  <c r="AX46" i="1" s="1"/>
  <c r="AG62" i="1"/>
  <c r="AJ62" i="1" s="1"/>
  <c r="AK62" i="1" s="1"/>
  <c r="AW61" i="1"/>
  <c r="AF61" i="1"/>
  <c r="W20" i="1"/>
  <c r="X20" i="1"/>
  <c r="O97" i="1"/>
  <c r="R20" i="1"/>
  <c r="S20" i="1" s="1"/>
  <c r="C60" i="1"/>
  <c r="G61" i="1"/>
  <c r="T59" i="1"/>
  <c r="F57" i="1"/>
  <c r="E58" i="1"/>
  <c r="L58" i="1" s="1"/>
  <c r="D61" i="1"/>
  <c r="AY46" i="1" l="1"/>
  <c r="AZ46" i="1"/>
  <c r="AG63" i="1"/>
  <c r="AJ63" i="1" s="1"/>
  <c r="AK63" i="1" s="1"/>
  <c r="AW62" i="1"/>
  <c r="AF62" i="1"/>
  <c r="O98" i="1"/>
  <c r="D62" i="1"/>
  <c r="U20" i="1"/>
  <c r="H21" i="1"/>
  <c r="M21" i="1" s="1"/>
  <c r="Q21" i="1" s="1"/>
  <c r="F58" i="1"/>
  <c r="E59" i="1"/>
  <c r="L59" i="1" s="1"/>
  <c r="T60" i="1"/>
  <c r="C61" i="1"/>
  <c r="G62" i="1"/>
  <c r="AG64" i="1" l="1"/>
  <c r="AJ64" i="1" s="1"/>
  <c r="AK64" i="1" s="1"/>
  <c r="AW63" i="1"/>
  <c r="BA46" i="1"/>
  <c r="BB46" i="1" s="1"/>
  <c r="AX47" i="1" s="1"/>
  <c r="AF63" i="1"/>
  <c r="O99" i="1"/>
  <c r="C62" i="1"/>
  <c r="G63" i="1"/>
  <c r="F59" i="1"/>
  <c r="E60" i="1"/>
  <c r="L60" i="1" s="1"/>
  <c r="P21" i="1"/>
  <c r="T61" i="1"/>
  <c r="D63" i="1"/>
  <c r="AY47" i="1" l="1"/>
  <c r="AZ47" i="1"/>
  <c r="AG65" i="1"/>
  <c r="AJ65" i="1" s="1"/>
  <c r="AK65" i="1" s="1"/>
  <c r="AW64" i="1"/>
  <c r="AF64" i="1"/>
  <c r="W21" i="1"/>
  <c r="X21" i="1"/>
  <c r="O100" i="1"/>
  <c r="T62" i="1"/>
  <c r="G64" i="1"/>
  <c r="C63" i="1"/>
  <c r="R21" i="1"/>
  <c r="S21" i="1" s="1"/>
  <c r="F60" i="1"/>
  <c r="E61" i="1"/>
  <c r="L61" i="1" s="1"/>
  <c r="D64" i="1"/>
  <c r="AG66" i="1" l="1"/>
  <c r="AJ66" i="1" s="1"/>
  <c r="AK66" i="1" s="1"/>
  <c r="AW65" i="1"/>
  <c r="BA47" i="1"/>
  <c r="BB47" i="1" s="1"/>
  <c r="AX48" i="1" s="1"/>
  <c r="AF65" i="1"/>
  <c r="O101" i="1"/>
  <c r="D65" i="1"/>
  <c r="F61" i="1"/>
  <c r="E62" i="1"/>
  <c r="L62" i="1" s="1"/>
  <c r="C64" i="1"/>
  <c r="G65" i="1"/>
  <c r="T63" i="1"/>
  <c r="H22" i="1"/>
  <c r="M22" i="1" s="1"/>
  <c r="Q22" i="1" s="1"/>
  <c r="U21" i="1"/>
  <c r="AY48" i="1" l="1"/>
  <c r="AZ48" i="1"/>
  <c r="AG67" i="1"/>
  <c r="AJ67" i="1" s="1"/>
  <c r="AK67" i="1" s="1"/>
  <c r="AW66" i="1"/>
  <c r="AF66" i="1"/>
  <c r="O102" i="1"/>
  <c r="P22" i="1"/>
  <c r="T64" i="1"/>
  <c r="F62" i="1"/>
  <c r="E63" i="1"/>
  <c r="L63" i="1" s="1"/>
  <c r="C65" i="1"/>
  <c r="G66" i="1"/>
  <c r="D66" i="1"/>
  <c r="BA48" i="1" l="1"/>
  <c r="BB48" i="1" s="1"/>
  <c r="AX49" i="1" s="1"/>
  <c r="AY49" i="1" s="1"/>
  <c r="AG68" i="1"/>
  <c r="AJ68" i="1" s="1"/>
  <c r="AK68" i="1" s="1"/>
  <c r="AW67" i="1"/>
  <c r="AF67" i="1"/>
  <c r="W22" i="1"/>
  <c r="X22" i="1"/>
  <c r="O103" i="1"/>
  <c r="D67" i="1"/>
  <c r="F63" i="1"/>
  <c r="E64" i="1"/>
  <c r="L64" i="1" s="1"/>
  <c r="R22" i="1"/>
  <c r="S22" i="1" s="1"/>
  <c r="T65" i="1"/>
  <c r="C66" i="1"/>
  <c r="G67" i="1"/>
  <c r="AZ49" i="1" l="1"/>
  <c r="BA49" i="1" s="1"/>
  <c r="BB49" i="1" s="1"/>
  <c r="AX50" i="1" s="1"/>
  <c r="AY50" i="1" s="1"/>
  <c r="AG69" i="1"/>
  <c r="AJ69" i="1" s="1"/>
  <c r="AK69" i="1" s="1"/>
  <c r="AW68" i="1"/>
  <c r="AF68" i="1"/>
  <c r="O104" i="1"/>
  <c r="G68" i="1"/>
  <c r="C67" i="1"/>
  <c r="F64" i="1"/>
  <c r="E65" i="1"/>
  <c r="L65" i="1" s="1"/>
  <c r="D68" i="1"/>
  <c r="T66" i="1"/>
  <c r="H23" i="1"/>
  <c r="M23" i="1" s="1"/>
  <c r="Q23" i="1" s="1"/>
  <c r="U22" i="1"/>
  <c r="AZ50" i="1" l="1"/>
  <c r="BA50" i="1" s="1"/>
  <c r="BB50" i="1" s="1"/>
  <c r="AX51" i="1" s="1"/>
  <c r="AG70" i="1"/>
  <c r="AJ70" i="1" s="1"/>
  <c r="AK70" i="1" s="1"/>
  <c r="AW69" i="1"/>
  <c r="AF69" i="1"/>
  <c r="O105" i="1"/>
  <c r="P23" i="1"/>
  <c r="C68" i="1"/>
  <c r="G69" i="1"/>
  <c r="F65" i="1"/>
  <c r="E66" i="1"/>
  <c r="L66" i="1" s="1"/>
  <c r="D69" i="1"/>
  <c r="T67" i="1"/>
  <c r="AY51" i="1" l="1"/>
  <c r="AZ51" i="1"/>
  <c r="AG71" i="1"/>
  <c r="AJ71" i="1" s="1"/>
  <c r="AK71" i="1" s="1"/>
  <c r="AW70" i="1"/>
  <c r="AF70" i="1"/>
  <c r="W23" i="1"/>
  <c r="X23" i="1"/>
  <c r="O106" i="1"/>
  <c r="T68" i="1"/>
  <c r="R23" i="1"/>
  <c r="S23" i="1" s="1"/>
  <c r="D70" i="1"/>
  <c r="F66" i="1"/>
  <c r="E67" i="1"/>
  <c r="L67" i="1" s="1"/>
  <c r="C69" i="1"/>
  <c r="G70" i="1"/>
  <c r="BA51" i="1" l="1"/>
  <c r="BB51" i="1" s="1"/>
  <c r="AX52" i="1" s="1"/>
  <c r="AY52" i="1" s="1"/>
  <c r="AG72" i="1"/>
  <c r="AJ72" i="1" s="1"/>
  <c r="AK72" i="1" s="1"/>
  <c r="AW71" i="1"/>
  <c r="AF71" i="1"/>
  <c r="O107" i="1"/>
  <c r="H24" i="1"/>
  <c r="M24" i="1" s="1"/>
  <c r="Q24" i="1" s="1"/>
  <c r="U23" i="1"/>
  <c r="F67" i="1"/>
  <c r="E68" i="1"/>
  <c r="L68" i="1" s="1"/>
  <c r="C70" i="1"/>
  <c r="G71" i="1"/>
  <c r="D71" i="1"/>
  <c r="T69" i="1"/>
  <c r="AZ52" i="1" l="1"/>
  <c r="BA52" i="1" s="1"/>
  <c r="BB52" i="1" s="1"/>
  <c r="AX53" i="1" s="1"/>
  <c r="AG73" i="1"/>
  <c r="AJ73" i="1" s="1"/>
  <c r="AK73" i="1" s="1"/>
  <c r="AW72" i="1"/>
  <c r="AF72" i="1"/>
  <c r="O108" i="1"/>
  <c r="F68" i="1"/>
  <c r="E69" i="1"/>
  <c r="L69" i="1" s="1"/>
  <c r="T70" i="1"/>
  <c r="P24" i="1"/>
  <c r="D72" i="1"/>
  <c r="G72" i="1"/>
  <c r="C71" i="1"/>
  <c r="AY53" i="1" l="1"/>
  <c r="AZ53" i="1"/>
  <c r="AG74" i="1"/>
  <c r="AJ74" i="1" s="1"/>
  <c r="AK74" i="1" s="1"/>
  <c r="AW73" i="1"/>
  <c r="AF73" i="1"/>
  <c r="W24" i="1"/>
  <c r="X24" i="1"/>
  <c r="O109" i="1"/>
  <c r="F69" i="1"/>
  <c r="E70" i="1"/>
  <c r="L70" i="1" s="1"/>
  <c r="R24" i="1"/>
  <c r="S24" i="1" s="1"/>
  <c r="C72" i="1"/>
  <c r="G73" i="1"/>
  <c r="T71" i="1"/>
  <c r="D73" i="1"/>
  <c r="AG75" i="1" l="1"/>
  <c r="AJ75" i="1" s="1"/>
  <c r="AK75" i="1" s="1"/>
  <c r="AW74" i="1"/>
  <c r="BA53" i="1"/>
  <c r="BB53" i="1" s="1"/>
  <c r="AX54" i="1" s="1"/>
  <c r="AF74" i="1"/>
  <c r="O110" i="1"/>
  <c r="F70" i="1"/>
  <c r="E71" i="1"/>
  <c r="L71" i="1" s="1"/>
  <c r="T72" i="1"/>
  <c r="C73" i="1"/>
  <c r="G74" i="1"/>
  <c r="D74" i="1"/>
  <c r="U24" i="1"/>
  <c r="H25" i="1"/>
  <c r="M25" i="1" s="1"/>
  <c r="Q25" i="1" s="1"/>
  <c r="AG76" i="1" l="1"/>
  <c r="AJ76" i="1" s="1"/>
  <c r="AK76" i="1" s="1"/>
  <c r="AW75" i="1"/>
  <c r="AF75" i="1"/>
  <c r="O111" i="1"/>
  <c r="F71" i="1"/>
  <c r="E72" i="1"/>
  <c r="L72" i="1" s="1"/>
  <c r="D75" i="1"/>
  <c r="T73" i="1"/>
  <c r="P25" i="1"/>
  <c r="C74" i="1"/>
  <c r="G75" i="1"/>
  <c r="AG77" i="1" l="1"/>
  <c r="AJ77" i="1" s="1"/>
  <c r="AK77" i="1" s="1"/>
  <c r="AW76" i="1"/>
  <c r="AF76" i="1"/>
  <c r="X25" i="1"/>
  <c r="W25" i="1"/>
  <c r="O112" i="1"/>
  <c r="F72" i="1"/>
  <c r="E73" i="1"/>
  <c r="L73" i="1" s="1"/>
  <c r="R25" i="1"/>
  <c r="S25" i="1" s="1"/>
  <c r="T74" i="1"/>
  <c r="D76" i="1"/>
  <c r="G76" i="1"/>
  <c r="C75" i="1"/>
  <c r="AG78" i="1" l="1"/>
  <c r="AJ78" i="1" s="1"/>
  <c r="AK78" i="1" s="1"/>
  <c r="AW77" i="1"/>
  <c r="AF77" i="1"/>
  <c r="O113" i="1"/>
  <c r="C76" i="1"/>
  <c r="G77" i="1"/>
  <c r="H26" i="1"/>
  <c r="M26" i="1" s="1"/>
  <c r="Q26" i="1" s="1"/>
  <c r="U25" i="1"/>
  <c r="T75" i="1"/>
  <c r="F73" i="1"/>
  <c r="E74" i="1"/>
  <c r="L74" i="1" s="1"/>
  <c r="D77" i="1"/>
  <c r="AG79" i="1" l="1"/>
  <c r="AJ79" i="1" s="1"/>
  <c r="AK79" i="1" s="1"/>
  <c r="AW78" i="1"/>
  <c r="AF78" i="1"/>
  <c r="O114" i="1"/>
  <c r="P26" i="1"/>
  <c r="C77" i="1"/>
  <c r="G78" i="1"/>
  <c r="F74" i="1"/>
  <c r="E75" i="1"/>
  <c r="L75" i="1" s="1"/>
  <c r="T76" i="1"/>
  <c r="D78" i="1"/>
  <c r="AG80" i="1" l="1"/>
  <c r="AJ80" i="1" s="1"/>
  <c r="AK80" i="1" s="1"/>
  <c r="AW79" i="1"/>
  <c r="AF79" i="1"/>
  <c r="X26" i="1"/>
  <c r="W26" i="1"/>
  <c r="O115" i="1"/>
  <c r="T77" i="1"/>
  <c r="D79" i="1"/>
  <c r="R26" i="1"/>
  <c r="S26" i="1" s="1"/>
  <c r="F75" i="1"/>
  <c r="E76" i="1"/>
  <c r="L76" i="1" s="1"/>
  <c r="C78" i="1"/>
  <c r="G79" i="1"/>
  <c r="AG81" i="1" l="1"/>
  <c r="AJ81" i="1" s="1"/>
  <c r="AK81" i="1" s="1"/>
  <c r="AW80" i="1"/>
  <c r="AF80" i="1"/>
  <c r="O116" i="1"/>
  <c r="G80" i="1"/>
  <c r="C79" i="1"/>
  <c r="F76" i="1"/>
  <c r="E77" i="1"/>
  <c r="L77" i="1" s="1"/>
  <c r="D80" i="1"/>
  <c r="U26" i="1"/>
  <c r="H27" i="1"/>
  <c r="M27" i="1" s="1"/>
  <c r="Q27" i="1" s="1"/>
  <c r="T78" i="1"/>
  <c r="AG82" i="1" l="1"/>
  <c r="AJ82" i="1" s="1"/>
  <c r="AK82" i="1" s="1"/>
  <c r="AW81" i="1"/>
  <c r="AF81" i="1"/>
  <c r="O117" i="1"/>
  <c r="T79" i="1"/>
  <c r="D81" i="1"/>
  <c r="P27" i="1"/>
  <c r="F77" i="1"/>
  <c r="E78" i="1"/>
  <c r="L78" i="1" s="1"/>
  <c r="C80" i="1"/>
  <c r="G81" i="1"/>
  <c r="AG83" i="1" l="1"/>
  <c r="AJ83" i="1" s="1"/>
  <c r="AK83" i="1" s="1"/>
  <c r="AW82" i="1"/>
  <c r="AF82" i="1"/>
  <c r="W27" i="1"/>
  <c r="X27" i="1"/>
  <c r="O118" i="1"/>
  <c r="R27" i="1"/>
  <c r="S27" i="1" s="1"/>
  <c r="T80" i="1"/>
  <c r="F78" i="1"/>
  <c r="E79" i="1"/>
  <c r="L79" i="1" s="1"/>
  <c r="D82" i="1"/>
  <c r="C81" i="1"/>
  <c r="G82" i="1"/>
  <c r="AG84" i="1" l="1"/>
  <c r="AJ84" i="1" s="1"/>
  <c r="AK84" i="1" s="1"/>
  <c r="AW83" i="1"/>
  <c r="AF83" i="1"/>
  <c r="O119" i="1"/>
  <c r="H28" i="1"/>
  <c r="M28" i="1" s="1"/>
  <c r="Q28" i="1" s="1"/>
  <c r="U27" i="1"/>
  <c r="D83" i="1"/>
  <c r="T81" i="1"/>
  <c r="C82" i="1"/>
  <c r="G83" i="1"/>
  <c r="F79" i="1"/>
  <c r="E80" i="1"/>
  <c r="L80" i="1" s="1"/>
  <c r="AG85" i="1" l="1"/>
  <c r="AJ85" i="1" s="1"/>
  <c r="AK85" i="1" s="1"/>
  <c r="AW84" i="1"/>
  <c r="AF84" i="1"/>
  <c r="O120" i="1"/>
  <c r="P28" i="1"/>
  <c r="D84" i="1"/>
  <c r="F80" i="1"/>
  <c r="E81" i="1"/>
  <c r="L81" i="1" s="1"/>
  <c r="G84" i="1"/>
  <c r="C83" i="1"/>
  <c r="T82" i="1"/>
  <c r="AG86" i="1" l="1"/>
  <c r="AJ86" i="1" s="1"/>
  <c r="AK86" i="1" s="1"/>
  <c r="AW85" i="1"/>
  <c r="AF85" i="1"/>
  <c r="W28" i="1"/>
  <c r="X28" i="1"/>
  <c r="O121" i="1"/>
  <c r="R28" i="1"/>
  <c r="S28" i="1" s="1"/>
  <c r="C84" i="1"/>
  <c r="G85" i="1"/>
  <c r="T83" i="1"/>
  <c r="F81" i="1"/>
  <c r="E82" i="1"/>
  <c r="L82" i="1" s="1"/>
  <c r="D85" i="1"/>
  <c r="AG87" i="1" l="1"/>
  <c r="AJ87" i="1" s="1"/>
  <c r="AK87" i="1" s="1"/>
  <c r="AW86" i="1"/>
  <c r="AF86" i="1"/>
  <c r="O122" i="1"/>
  <c r="D86" i="1"/>
  <c r="F82" i="1"/>
  <c r="E83" i="1"/>
  <c r="L83" i="1" s="1"/>
  <c r="T84" i="1"/>
  <c r="C85" i="1"/>
  <c r="G86" i="1"/>
  <c r="H29" i="1"/>
  <c r="M29" i="1" s="1"/>
  <c r="Q29" i="1" s="1"/>
  <c r="U28" i="1"/>
  <c r="AG88" i="1" l="1"/>
  <c r="AJ88" i="1" s="1"/>
  <c r="AK88" i="1" s="1"/>
  <c r="AW87" i="1"/>
  <c r="AF87" i="1"/>
  <c r="O123" i="1"/>
  <c r="G87" i="1"/>
  <c r="C86" i="1"/>
  <c r="F83" i="1"/>
  <c r="E84" i="1"/>
  <c r="L84" i="1" s="1"/>
  <c r="T85" i="1"/>
  <c r="P29" i="1"/>
  <c r="D87" i="1"/>
  <c r="AG89" i="1" l="1"/>
  <c r="AJ89" i="1" s="1"/>
  <c r="AK89" i="1" s="1"/>
  <c r="AW88" i="1"/>
  <c r="AF88" i="1"/>
  <c r="W29" i="1"/>
  <c r="X29" i="1"/>
  <c r="O124" i="1"/>
  <c r="F84" i="1"/>
  <c r="E85" i="1"/>
  <c r="L85" i="1" s="1"/>
  <c r="G88" i="1"/>
  <c r="C87" i="1"/>
  <c r="D88" i="1"/>
  <c r="R29" i="1"/>
  <c r="S29" i="1" s="1"/>
  <c r="T86" i="1"/>
  <c r="AG90" i="1" l="1"/>
  <c r="AJ90" i="1" s="1"/>
  <c r="AK90" i="1" s="1"/>
  <c r="AW89" i="1"/>
  <c r="AF89" i="1"/>
  <c r="O125" i="1"/>
  <c r="T87" i="1"/>
  <c r="D89" i="1"/>
  <c r="F85" i="1"/>
  <c r="E86" i="1"/>
  <c r="L86" i="1" s="1"/>
  <c r="C88" i="1"/>
  <c r="G89" i="1"/>
  <c r="H30" i="1"/>
  <c r="M30" i="1" s="1"/>
  <c r="Q30" i="1" s="1"/>
  <c r="U29" i="1"/>
  <c r="AG91" i="1" l="1"/>
  <c r="AJ91" i="1" s="1"/>
  <c r="AK91" i="1" s="1"/>
  <c r="AW90" i="1"/>
  <c r="AF90" i="1"/>
  <c r="O126" i="1"/>
  <c r="C89" i="1"/>
  <c r="G90" i="1"/>
  <c r="F86" i="1"/>
  <c r="E87" i="1"/>
  <c r="L87" i="1" s="1"/>
  <c r="D90" i="1"/>
  <c r="T88" i="1"/>
  <c r="P30" i="1"/>
  <c r="AG92" i="1" l="1"/>
  <c r="AJ92" i="1" s="1"/>
  <c r="AK92" i="1" s="1"/>
  <c r="AW91" i="1"/>
  <c r="AF91" i="1"/>
  <c r="W30" i="1"/>
  <c r="X30" i="1"/>
  <c r="O127" i="1"/>
  <c r="R30" i="1"/>
  <c r="S30" i="1" s="1"/>
  <c r="D91" i="1"/>
  <c r="F87" i="1"/>
  <c r="E88" i="1"/>
  <c r="L88" i="1" s="1"/>
  <c r="C90" i="1"/>
  <c r="G91" i="1"/>
  <c r="T89" i="1"/>
  <c r="AG93" i="1" l="1"/>
  <c r="AJ93" i="1" s="1"/>
  <c r="AK93" i="1" s="1"/>
  <c r="AW92" i="1"/>
  <c r="AF92" i="1"/>
  <c r="O128" i="1"/>
  <c r="G92" i="1"/>
  <c r="C91" i="1"/>
  <c r="H31" i="1"/>
  <c r="M31" i="1" s="1"/>
  <c r="Q31" i="1" s="1"/>
  <c r="U30" i="1"/>
  <c r="F88" i="1"/>
  <c r="E89" i="1"/>
  <c r="L89" i="1" s="1"/>
  <c r="D92" i="1"/>
  <c r="T90" i="1"/>
  <c r="AG94" i="1" l="1"/>
  <c r="AJ94" i="1" s="1"/>
  <c r="AK94" i="1" s="1"/>
  <c r="AW93" i="1"/>
  <c r="AF93" i="1"/>
  <c r="O129" i="1"/>
  <c r="F89" i="1"/>
  <c r="E90" i="1"/>
  <c r="L90" i="1" s="1"/>
  <c r="T91" i="1"/>
  <c r="D93" i="1"/>
  <c r="P31" i="1"/>
  <c r="C92" i="1"/>
  <c r="G93" i="1"/>
  <c r="AG95" i="1" l="1"/>
  <c r="AJ95" i="1" s="1"/>
  <c r="AK95" i="1" s="1"/>
  <c r="AW94" i="1"/>
  <c r="AF94" i="1"/>
  <c r="W31" i="1"/>
  <c r="X31" i="1"/>
  <c r="O130" i="1"/>
  <c r="C93" i="1"/>
  <c r="G94" i="1"/>
  <c r="R31" i="1"/>
  <c r="S31" i="1" s="1"/>
  <c r="F90" i="1"/>
  <c r="E91" i="1"/>
  <c r="L91" i="1" s="1"/>
  <c r="D94" i="1"/>
  <c r="T92" i="1"/>
  <c r="AG96" i="1" l="1"/>
  <c r="AJ96" i="1" s="1"/>
  <c r="AK96" i="1" s="1"/>
  <c r="AW95" i="1"/>
  <c r="AF95" i="1"/>
  <c r="O131" i="1"/>
  <c r="T93" i="1"/>
  <c r="U31" i="1"/>
  <c r="H32" i="1"/>
  <c r="M32" i="1" s="1"/>
  <c r="Q32" i="1" s="1"/>
  <c r="C94" i="1"/>
  <c r="G95" i="1"/>
  <c r="F91" i="1"/>
  <c r="E92" i="1"/>
  <c r="L92" i="1" s="1"/>
  <c r="D95" i="1"/>
  <c r="AG97" i="1" l="1"/>
  <c r="AJ97" i="1" s="1"/>
  <c r="AK97" i="1" s="1"/>
  <c r="AW96" i="1"/>
  <c r="AF96" i="1"/>
  <c r="O132" i="1"/>
  <c r="D96" i="1"/>
  <c r="P32" i="1"/>
  <c r="F92" i="1"/>
  <c r="E93" i="1"/>
  <c r="L93" i="1" s="1"/>
  <c r="G96" i="1"/>
  <c r="C95" i="1"/>
  <c r="T94" i="1"/>
  <c r="AG98" i="1" l="1"/>
  <c r="AJ98" i="1" s="1"/>
  <c r="AK98" i="1" s="1"/>
  <c r="AW97" i="1"/>
  <c r="AF97" i="1"/>
  <c r="W32" i="1"/>
  <c r="X32" i="1"/>
  <c r="O133" i="1"/>
  <c r="D97" i="1"/>
  <c r="F93" i="1"/>
  <c r="E94" i="1"/>
  <c r="L94" i="1" s="1"/>
  <c r="R32" i="1"/>
  <c r="S32" i="1" s="1"/>
  <c r="C96" i="1"/>
  <c r="G97" i="1"/>
  <c r="T95" i="1"/>
  <c r="AG99" i="1" l="1"/>
  <c r="AJ99" i="1" s="1"/>
  <c r="AK99" i="1" s="1"/>
  <c r="AW98" i="1"/>
  <c r="AF98" i="1"/>
  <c r="O134" i="1"/>
  <c r="F94" i="1"/>
  <c r="E95" i="1"/>
  <c r="L95" i="1" s="1"/>
  <c r="D98" i="1"/>
  <c r="T96" i="1"/>
  <c r="C97" i="1"/>
  <c r="G98" i="1"/>
  <c r="H33" i="1"/>
  <c r="M33" i="1" s="1"/>
  <c r="Q33" i="1" s="1"/>
  <c r="U32" i="1"/>
  <c r="AG100" i="1" l="1"/>
  <c r="AJ100" i="1" s="1"/>
  <c r="AK100" i="1" s="1"/>
  <c r="AW99" i="1"/>
  <c r="AF99" i="1"/>
  <c r="O135" i="1"/>
  <c r="C98" i="1"/>
  <c r="G99" i="1"/>
  <c r="F95" i="1"/>
  <c r="E96" i="1"/>
  <c r="L96" i="1" s="1"/>
  <c r="D99" i="1"/>
  <c r="P33" i="1"/>
  <c r="T97" i="1"/>
  <c r="AG101" i="1" l="1"/>
  <c r="AJ101" i="1" s="1"/>
  <c r="AK101" i="1" s="1"/>
  <c r="AW100" i="1"/>
  <c r="AF100" i="1"/>
  <c r="X33" i="1"/>
  <c r="W33" i="1"/>
  <c r="O136" i="1"/>
  <c r="T98" i="1"/>
  <c r="D100" i="1"/>
  <c r="F96" i="1"/>
  <c r="E97" i="1"/>
  <c r="L97" i="1" s="1"/>
  <c r="G100" i="1"/>
  <c r="C99" i="1"/>
  <c r="R33" i="1"/>
  <c r="S33" i="1" s="1"/>
  <c r="AG102" i="1" l="1"/>
  <c r="AJ102" i="1" s="1"/>
  <c r="AK102" i="1" s="1"/>
  <c r="AW101" i="1"/>
  <c r="AF101" i="1"/>
  <c r="O137" i="1"/>
  <c r="F97" i="1"/>
  <c r="E98" i="1"/>
  <c r="L98" i="1" s="1"/>
  <c r="U33" i="1"/>
  <c r="H34" i="1"/>
  <c r="M34" i="1" s="1"/>
  <c r="Q34" i="1" s="1"/>
  <c r="T99" i="1"/>
  <c r="D101" i="1"/>
  <c r="C100" i="1"/>
  <c r="G101" i="1"/>
  <c r="AG103" i="1" l="1"/>
  <c r="AJ103" i="1" s="1"/>
  <c r="AK103" i="1" s="1"/>
  <c r="AW102" i="1"/>
  <c r="AF102" i="1"/>
  <c r="O138" i="1"/>
  <c r="D102" i="1"/>
  <c r="C101" i="1"/>
  <c r="G102" i="1"/>
  <c r="T100" i="1"/>
  <c r="P34" i="1"/>
  <c r="F98" i="1"/>
  <c r="E99" i="1"/>
  <c r="L99" i="1" s="1"/>
  <c r="AG104" i="1" l="1"/>
  <c r="AJ104" i="1" s="1"/>
  <c r="AK104" i="1" s="1"/>
  <c r="AW103" i="1"/>
  <c r="AF103" i="1"/>
  <c r="X34" i="1"/>
  <c r="W34" i="1"/>
  <c r="O139" i="1"/>
  <c r="C102" i="1"/>
  <c r="G103" i="1"/>
  <c r="F99" i="1"/>
  <c r="E100" i="1"/>
  <c r="L100" i="1" s="1"/>
  <c r="R34" i="1"/>
  <c r="S34" i="1" s="1"/>
  <c r="T101" i="1"/>
  <c r="D103" i="1"/>
  <c r="AG105" i="1" l="1"/>
  <c r="AJ105" i="1" s="1"/>
  <c r="AK105" i="1" s="1"/>
  <c r="AW104" i="1"/>
  <c r="AF104" i="1"/>
  <c r="O140" i="1"/>
  <c r="U34" i="1"/>
  <c r="H35" i="1"/>
  <c r="M35" i="1" s="1"/>
  <c r="Q35" i="1" s="1"/>
  <c r="T102" i="1"/>
  <c r="F100" i="1"/>
  <c r="E101" i="1"/>
  <c r="L101" i="1" s="1"/>
  <c r="G104" i="1"/>
  <c r="C103" i="1"/>
  <c r="D104" i="1"/>
  <c r="AG106" i="1" l="1"/>
  <c r="AJ106" i="1" s="1"/>
  <c r="AK106" i="1" s="1"/>
  <c r="AW105" i="1"/>
  <c r="AF105" i="1"/>
  <c r="O141" i="1"/>
  <c r="T103" i="1"/>
  <c r="D105" i="1"/>
  <c r="F101" i="1"/>
  <c r="E102" i="1"/>
  <c r="L102" i="1" s="1"/>
  <c r="P35" i="1"/>
  <c r="C104" i="1"/>
  <c r="G105" i="1"/>
  <c r="AG107" i="1" l="1"/>
  <c r="AJ107" i="1" s="1"/>
  <c r="AK107" i="1" s="1"/>
  <c r="AW106" i="1"/>
  <c r="AF106" i="1"/>
  <c r="W35" i="1"/>
  <c r="X35" i="1"/>
  <c r="O142" i="1"/>
  <c r="C105" i="1"/>
  <c r="G106" i="1"/>
  <c r="D106" i="1"/>
  <c r="T104" i="1"/>
  <c r="F102" i="1"/>
  <c r="E103" i="1"/>
  <c r="L103" i="1" s="1"/>
  <c r="R35" i="1"/>
  <c r="S35" i="1" s="1"/>
  <c r="AG108" i="1" l="1"/>
  <c r="AJ108" i="1" s="1"/>
  <c r="AK108" i="1" s="1"/>
  <c r="AW107" i="1"/>
  <c r="AF107" i="1"/>
  <c r="O143" i="1"/>
  <c r="F103" i="1"/>
  <c r="E104" i="1"/>
  <c r="L104" i="1" s="1"/>
  <c r="T105" i="1"/>
  <c r="C106" i="1"/>
  <c r="G107" i="1"/>
  <c r="D107" i="1"/>
  <c r="H36" i="1"/>
  <c r="M36" i="1" s="1"/>
  <c r="Q36" i="1" s="1"/>
  <c r="U35" i="1"/>
  <c r="AG109" i="1" l="1"/>
  <c r="AJ109" i="1" s="1"/>
  <c r="AK109" i="1" s="1"/>
  <c r="AW108" i="1"/>
  <c r="AF108" i="1"/>
  <c r="O144" i="1"/>
  <c r="G108" i="1"/>
  <c r="C107" i="1"/>
  <c r="F104" i="1"/>
  <c r="E105" i="1"/>
  <c r="L105" i="1" s="1"/>
  <c r="D108" i="1"/>
  <c r="P36" i="1"/>
  <c r="T106" i="1"/>
  <c r="AG110" i="1" l="1"/>
  <c r="AJ110" i="1" s="1"/>
  <c r="AK110" i="1" s="1"/>
  <c r="AW109" i="1"/>
  <c r="AF109" i="1"/>
  <c r="W36" i="1"/>
  <c r="X36" i="1"/>
  <c r="O145" i="1"/>
  <c r="D109" i="1"/>
  <c r="F105" i="1"/>
  <c r="E106" i="1"/>
  <c r="L106" i="1" s="1"/>
  <c r="R36" i="1"/>
  <c r="S36" i="1" s="1"/>
  <c r="T107" i="1"/>
  <c r="C108" i="1"/>
  <c r="G109" i="1"/>
  <c r="AG111" i="1" l="1"/>
  <c r="AJ111" i="1" s="1"/>
  <c r="AK111" i="1" s="1"/>
  <c r="AW110" i="1"/>
  <c r="AF110" i="1"/>
  <c r="O146" i="1"/>
  <c r="F106" i="1"/>
  <c r="E107" i="1"/>
  <c r="L107" i="1" s="1"/>
  <c r="T108" i="1"/>
  <c r="C109" i="1"/>
  <c r="G110" i="1"/>
  <c r="H37" i="1"/>
  <c r="M37" i="1" s="1"/>
  <c r="Q37" i="1" s="1"/>
  <c r="U36" i="1"/>
  <c r="D110" i="1"/>
  <c r="AG112" i="1" l="1"/>
  <c r="AJ112" i="1" s="1"/>
  <c r="AK112" i="1" s="1"/>
  <c r="AW111" i="1"/>
  <c r="AF111" i="1"/>
  <c r="O147" i="1"/>
  <c r="F107" i="1"/>
  <c r="E108" i="1"/>
  <c r="L108" i="1" s="1"/>
  <c r="D111" i="1"/>
  <c r="C110" i="1"/>
  <c r="G111" i="1"/>
  <c r="P37" i="1"/>
  <c r="T109" i="1"/>
  <c r="AG113" i="1" l="1"/>
  <c r="AJ113" i="1" s="1"/>
  <c r="AK113" i="1" s="1"/>
  <c r="AW112" i="1"/>
  <c r="AF112" i="1"/>
  <c r="W37" i="1"/>
  <c r="X37" i="1"/>
  <c r="O148" i="1"/>
  <c r="T110" i="1"/>
  <c r="G112" i="1"/>
  <c r="C111" i="1"/>
  <c r="D112" i="1"/>
  <c r="F108" i="1"/>
  <c r="E109" i="1"/>
  <c r="L109" i="1" s="1"/>
  <c r="R37" i="1"/>
  <c r="S37" i="1" s="1"/>
  <c r="AG114" i="1" l="1"/>
  <c r="AJ114" i="1" s="1"/>
  <c r="AK114" i="1" s="1"/>
  <c r="AW113" i="1"/>
  <c r="AF113" i="1"/>
  <c r="O149" i="1"/>
  <c r="C112" i="1"/>
  <c r="G113" i="1"/>
  <c r="F109" i="1"/>
  <c r="E110" i="1"/>
  <c r="L110" i="1" s="1"/>
  <c r="D113" i="1"/>
  <c r="T111" i="1"/>
  <c r="H38" i="1"/>
  <c r="M38" i="1" s="1"/>
  <c r="Q38" i="1" s="1"/>
  <c r="U37" i="1"/>
  <c r="AG115" i="1" l="1"/>
  <c r="AJ115" i="1" s="1"/>
  <c r="AK115" i="1" s="1"/>
  <c r="AW114" i="1"/>
  <c r="AF114" i="1"/>
  <c r="O150" i="1"/>
  <c r="T112" i="1"/>
  <c r="F110" i="1"/>
  <c r="E111" i="1"/>
  <c r="L111" i="1" s="1"/>
  <c r="C113" i="1"/>
  <c r="G114" i="1"/>
  <c r="P38" i="1"/>
  <c r="D114" i="1"/>
  <c r="AG116" i="1" l="1"/>
  <c r="AJ116" i="1" s="1"/>
  <c r="AK116" i="1" s="1"/>
  <c r="AW115" i="1"/>
  <c r="AF115" i="1"/>
  <c r="W38" i="1"/>
  <c r="X38" i="1"/>
  <c r="O151" i="1"/>
  <c r="D115" i="1"/>
  <c r="F111" i="1"/>
  <c r="E112" i="1"/>
  <c r="L112" i="1" s="1"/>
  <c r="C114" i="1"/>
  <c r="G115" i="1"/>
  <c r="R38" i="1"/>
  <c r="S38" i="1" s="1"/>
  <c r="T113" i="1"/>
  <c r="AG117" i="1" l="1"/>
  <c r="AJ117" i="1" s="1"/>
  <c r="AK117" i="1" s="1"/>
  <c r="AW116" i="1"/>
  <c r="AF116" i="1"/>
  <c r="O152" i="1"/>
  <c r="G116" i="1"/>
  <c r="C115" i="1"/>
  <c r="F112" i="1"/>
  <c r="E113" i="1"/>
  <c r="L113" i="1" s="1"/>
  <c r="D116" i="1"/>
  <c r="T114" i="1"/>
  <c r="H39" i="1"/>
  <c r="M39" i="1" s="1"/>
  <c r="Q39" i="1" s="1"/>
  <c r="U38" i="1"/>
  <c r="AG118" i="1" l="1"/>
  <c r="AJ118" i="1" s="1"/>
  <c r="AK118" i="1" s="1"/>
  <c r="AW117" i="1"/>
  <c r="AF117" i="1"/>
  <c r="O153" i="1"/>
  <c r="T115" i="1"/>
  <c r="F113" i="1"/>
  <c r="E114" i="1"/>
  <c r="L114" i="1" s="1"/>
  <c r="D117" i="1"/>
  <c r="P39" i="1"/>
  <c r="G117" i="1"/>
  <c r="C116" i="1"/>
  <c r="AG119" i="1" l="1"/>
  <c r="AJ119" i="1" s="1"/>
  <c r="AK119" i="1" s="1"/>
  <c r="AW118" i="1"/>
  <c r="AF118" i="1"/>
  <c r="W39" i="1"/>
  <c r="X39" i="1"/>
  <c r="O154" i="1"/>
  <c r="C117" i="1"/>
  <c r="G118" i="1"/>
  <c r="F114" i="1"/>
  <c r="E115" i="1"/>
  <c r="L115" i="1" s="1"/>
  <c r="T116" i="1"/>
  <c r="D118" i="1"/>
  <c r="R39" i="1"/>
  <c r="S39" i="1" s="1"/>
  <c r="AG120" i="1" l="1"/>
  <c r="AJ120" i="1" s="1"/>
  <c r="AK120" i="1" s="1"/>
  <c r="AW119" i="1"/>
  <c r="AF119" i="1"/>
  <c r="O155" i="1"/>
  <c r="H40" i="1"/>
  <c r="M40" i="1" s="1"/>
  <c r="Q40" i="1" s="1"/>
  <c r="U39" i="1"/>
  <c r="T117" i="1"/>
  <c r="F115" i="1"/>
  <c r="E116" i="1"/>
  <c r="L116" i="1" s="1"/>
  <c r="C118" i="1"/>
  <c r="G119" i="1"/>
  <c r="D119" i="1"/>
  <c r="AG121" i="1" l="1"/>
  <c r="AJ121" i="1" s="1"/>
  <c r="AK121" i="1" s="1"/>
  <c r="AW120" i="1"/>
  <c r="AF120" i="1"/>
  <c r="W40" i="1"/>
  <c r="X40" i="1"/>
  <c r="Y40" i="1"/>
  <c r="O156" i="1"/>
  <c r="C119" i="1"/>
  <c r="G120" i="1"/>
  <c r="T118" i="1"/>
  <c r="F116" i="1"/>
  <c r="E117" i="1"/>
  <c r="L117" i="1" s="1"/>
  <c r="D120" i="1"/>
  <c r="P40" i="1"/>
  <c r="AG122" i="1" l="1"/>
  <c r="AJ122" i="1" s="1"/>
  <c r="AK122" i="1" s="1"/>
  <c r="AW121" i="1"/>
  <c r="AF121" i="1"/>
  <c r="O157" i="1"/>
  <c r="D121" i="1"/>
  <c r="G121" i="1"/>
  <c r="C120" i="1"/>
  <c r="F117" i="1"/>
  <c r="E118" i="1"/>
  <c r="L118" i="1" s="1"/>
  <c r="T119" i="1"/>
  <c r="R40" i="1"/>
  <c r="S40" i="1" s="1"/>
  <c r="AG123" i="1" l="1"/>
  <c r="AJ123" i="1" s="1"/>
  <c r="AK123" i="1" s="1"/>
  <c r="AW122" i="1"/>
  <c r="AF122" i="1"/>
  <c r="O158" i="1"/>
  <c r="T120" i="1"/>
  <c r="D122" i="1"/>
  <c r="F118" i="1"/>
  <c r="E119" i="1"/>
  <c r="L119" i="1" s="1"/>
  <c r="H41" i="1"/>
  <c r="M41" i="1" s="1"/>
  <c r="Q41" i="1" s="1"/>
  <c r="U40" i="1"/>
  <c r="C121" i="1"/>
  <c r="G122" i="1"/>
  <c r="AG124" i="1" l="1"/>
  <c r="AJ124" i="1" s="1"/>
  <c r="AK124" i="1" s="1"/>
  <c r="AW123" i="1"/>
  <c r="AF123" i="1"/>
  <c r="Y41" i="1"/>
  <c r="W41" i="1"/>
  <c r="X41" i="1"/>
  <c r="O159" i="1"/>
  <c r="D123" i="1"/>
  <c r="F119" i="1"/>
  <c r="E120" i="1"/>
  <c r="L120" i="1" s="1"/>
  <c r="T121" i="1"/>
  <c r="C122" i="1"/>
  <c r="G123" i="1"/>
  <c r="P41" i="1"/>
  <c r="AG125" i="1" l="1"/>
  <c r="AJ125" i="1" s="1"/>
  <c r="AK125" i="1" s="1"/>
  <c r="AW124" i="1"/>
  <c r="AF124" i="1"/>
  <c r="O160" i="1"/>
  <c r="C123" i="1"/>
  <c r="G124" i="1"/>
  <c r="F120" i="1"/>
  <c r="E121" i="1"/>
  <c r="L121" i="1" s="1"/>
  <c r="D124" i="1"/>
  <c r="R41" i="1"/>
  <c r="S41" i="1" s="1"/>
  <c r="T122" i="1"/>
  <c r="AG126" i="1" l="1"/>
  <c r="AJ126" i="1" s="1"/>
  <c r="AK126" i="1" s="1"/>
  <c r="AW125" i="1"/>
  <c r="AF125" i="1"/>
  <c r="O161" i="1"/>
  <c r="T123" i="1"/>
  <c r="D125" i="1"/>
  <c r="F121" i="1"/>
  <c r="E122" i="1"/>
  <c r="L122" i="1" s="1"/>
  <c r="G125" i="1"/>
  <c r="C124" i="1"/>
  <c r="H42" i="1"/>
  <c r="M42" i="1" s="1"/>
  <c r="Q42" i="1" s="1"/>
  <c r="U41" i="1"/>
  <c r="AG127" i="1" l="1"/>
  <c r="AJ127" i="1" s="1"/>
  <c r="AK127" i="1" s="1"/>
  <c r="AW126" i="1"/>
  <c r="AF126" i="1"/>
  <c r="W42" i="1"/>
  <c r="X42" i="1"/>
  <c r="Y42" i="1"/>
  <c r="O162" i="1"/>
  <c r="F122" i="1"/>
  <c r="E123" i="1"/>
  <c r="L123" i="1" s="1"/>
  <c r="T124" i="1"/>
  <c r="D126" i="1"/>
  <c r="P42" i="1"/>
  <c r="C125" i="1"/>
  <c r="G126" i="1"/>
  <c r="AG128" i="1" l="1"/>
  <c r="AJ128" i="1" s="1"/>
  <c r="AK128" i="1" s="1"/>
  <c r="AW127" i="1"/>
  <c r="AF127" i="1"/>
  <c r="O163" i="1"/>
  <c r="F123" i="1"/>
  <c r="E124" i="1"/>
  <c r="L124" i="1" s="1"/>
  <c r="T125" i="1"/>
  <c r="C126" i="1"/>
  <c r="G127" i="1"/>
  <c r="R42" i="1"/>
  <c r="S42" i="1" s="1"/>
  <c r="D127" i="1"/>
  <c r="AG129" i="1" l="1"/>
  <c r="AJ129" i="1" s="1"/>
  <c r="AK129" i="1" s="1"/>
  <c r="AW128" i="1"/>
  <c r="AF128" i="1"/>
  <c r="O164" i="1"/>
  <c r="H43" i="1"/>
  <c r="M43" i="1" s="1"/>
  <c r="Q43" i="1" s="1"/>
  <c r="U42" i="1"/>
  <c r="T126" i="1"/>
  <c r="G128" i="1"/>
  <c r="C127" i="1"/>
  <c r="F124" i="1"/>
  <c r="E125" i="1"/>
  <c r="L125" i="1" s="1"/>
  <c r="D128" i="1"/>
  <c r="AG130" i="1" l="1"/>
  <c r="AJ130" i="1" s="1"/>
  <c r="AK130" i="1" s="1"/>
  <c r="AW129" i="1"/>
  <c r="AF129" i="1"/>
  <c r="W43" i="1"/>
  <c r="X43" i="1"/>
  <c r="Y43" i="1"/>
  <c r="O165" i="1"/>
  <c r="F125" i="1"/>
  <c r="E126" i="1"/>
  <c r="L126" i="1" s="1"/>
  <c r="D129" i="1"/>
  <c r="T127" i="1"/>
  <c r="G129" i="1"/>
  <c r="C128" i="1"/>
  <c r="P43" i="1"/>
  <c r="AG131" i="1" l="1"/>
  <c r="AJ131" i="1" s="1"/>
  <c r="AK131" i="1" s="1"/>
  <c r="AW130" i="1"/>
  <c r="AF130" i="1"/>
  <c r="O166" i="1"/>
  <c r="F126" i="1"/>
  <c r="E127" i="1"/>
  <c r="L127" i="1" s="1"/>
  <c r="T128" i="1"/>
  <c r="D130" i="1"/>
  <c r="R43" i="1"/>
  <c r="S43" i="1" s="1"/>
  <c r="C129" i="1"/>
  <c r="G130" i="1"/>
  <c r="AG132" i="1" l="1"/>
  <c r="AJ132" i="1" s="1"/>
  <c r="AK132" i="1" s="1"/>
  <c r="AW131" i="1"/>
  <c r="AF131" i="1"/>
  <c r="O167" i="1"/>
  <c r="T129" i="1"/>
  <c r="F127" i="1"/>
  <c r="E128" i="1"/>
  <c r="L128" i="1" s="1"/>
  <c r="U43" i="1"/>
  <c r="H44" i="1"/>
  <c r="M44" i="1" s="1"/>
  <c r="Q44" i="1" s="1"/>
  <c r="C130" i="1"/>
  <c r="G131" i="1"/>
  <c r="D131" i="1"/>
  <c r="AG133" i="1" l="1"/>
  <c r="AW132" i="1"/>
  <c r="AF132" i="1"/>
  <c r="Y44" i="1"/>
  <c r="X44" i="1"/>
  <c r="W44" i="1"/>
  <c r="O168" i="1"/>
  <c r="P44" i="1"/>
  <c r="C131" i="1"/>
  <c r="G132" i="1"/>
  <c r="F128" i="1"/>
  <c r="E129" i="1"/>
  <c r="L129" i="1" s="1"/>
  <c r="D132" i="1"/>
  <c r="T130" i="1"/>
  <c r="AJ133" i="1" l="1"/>
  <c r="AK133" i="1" s="1"/>
  <c r="AW133" i="1"/>
  <c r="AG134" i="1"/>
  <c r="AJ134" i="1" s="1"/>
  <c r="AK134" i="1" s="1"/>
  <c r="BN7" i="1"/>
  <c r="BO8" i="1"/>
  <c r="BP8" i="1"/>
  <c r="BO9" i="1"/>
  <c r="BO10" i="1"/>
  <c r="BN10" i="1"/>
  <c r="BH11" i="1"/>
  <c r="BO12" i="1"/>
  <c r="BP12" i="1"/>
  <c r="BJ13" i="1"/>
  <c r="BO14" i="1"/>
  <c r="BJ14" i="1"/>
  <c r="BH15" i="1"/>
  <c r="BO16" i="1"/>
  <c r="BP16" i="1"/>
  <c r="BP7" i="1"/>
  <c r="BP11" i="1"/>
  <c r="BI13" i="1"/>
  <c r="BO15" i="1"/>
  <c r="BH7" i="1"/>
  <c r="BN8" i="1"/>
  <c r="BJ8" i="1"/>
  <c r="BJ9" i="1"/>
  <c r="BP10" i="1"/>
  <c r="BJ10" i="1"/>
  <c r="BJ11" i="1"/>
  <c r="BN12" i="1"/>
  <c r="BJ12" i="1"/>
  <c r="BN13" i="1"/>
  <c r="BH14" i="1"/>
  <c r="BN14" i="1"/>
  <c r="BP15" i="1"/>
  <c r="BN16" i="1"/>
  <c r="BJ16" i="1"/>
  <c r="BJ7" i="1"/>
  <c r="BI9" i="1"/>
  <c r="BI10" i="1"/>
  <c r="BH12" i="1"/>
  <c r="BI14" i="1"/>
  <c r="BO7" i="1"/>
  <c r="BI7" i="1"/>
  <c r="BI8" i="1"/>
  <c r="BP9" i="1"/>
  <c r="BN9" i="1"/>
  <c r="BH10" i="1"/>
  <c r="BN11" i="1"/>
  <c r="BO11" i="1"/>
  <c r="BI12" i="1"/>
  <c r="BP13" i="1"/>
  <c r="BH13" i="1"/>
  <c r="BP14" i="1"/>
  <c r="BN15" i="1"/>
  <c r="BJ15" i="1"/>
  <c r="BI16" i="1"/>
  <c r="BH8" i="1"/>
  <c r="BH9" i="1"/>
  <c r="BI11" i="1"/>
  <c r="BL11" i="1" s="1"/>
  <c r="BO13" i="1"/>
  <c r="BI15" i="1"/>
  <c r="BH16" i="1"/>
  <c r="BK16" i="1" s="1"/>
  <c r="AF133" i="1"/>
  <c r="O169" i="1"/>
  <c r="T131" i="1"/>
  <c r="R44" i="1"/>
  <c r="S44" i="1" s="1"/>
  <c r="F129" i="1"/>
  <c r="E130" i="1"/>
  <c r="L130" i="1" s="1"/>
  <c r="G133" i="1"/>
  <c r="C132" i="1"/>
  <c r="D133" i="1"/>
  <c r="BK9" i="1" l="1"/>
  <c r="BK13" i="1"/>
  <c r="BK12" i="1"/>
  <c r="BK14" i="1"/>
  <c r="BK8" i="1"/>
  <c r="BK10" i="1"/>
  <c r="BL16" i="1"/>
  <c r="BL8" i="1"/>
  <c r="BM16" i="1"/>
  <c r="BM11" i="1"/>
  <c r="BM8" i="1"/>
  <c r="BL13" i="1"/>
  <c r="BM13" i="1"/>
  <c r="BM15" i="1"/>
  <c r="BL12" i="1"/>
  <c r="BL15" i="1"/>
  <c r="BL14" i="1"/>
  <c r="BL10" i="1"/>
  <c r="BM10" i="1"/>
  <c r="BK15" i="1"/>
  <c r="BL9" i="1"/>
  <c r="BM12" i="1"/>
  <c r="BM14" i="1"/>
  <c r="AG135" i="1"/>
  <c r="AJ135" i="1" s="1"/>
  <c r="AK135" i="1" s="1"/>
  <c r="AW134" i="1"/>
  <c r="BM9" i="1"/>
  <c r="BK11" i="1"/>
  <c r="AF134" i="1"/>
  <c r="O170" i="1"/>
  <c r="T132" i="1"/>
  <c r="D134" i="1"/>
  <c r="F130" i="1"/>
  <c r="E131" i="1"/>
  <c r="L131" i="1" s="1"/>
  <c r="U44" i="1"/>
  <c r="H45" i="1"/>
  <c r="M45" i="1" s="1"/>
  <c r="Q45" i="1" s="1"/>
  <c r="Y45" i="1" s="1"/>
  <c r="C133" i="1"/>
  <c r="G134" i="1"/>
  <c r="AG136" i="1" l="1"/>
  <c r="AJ136" i="1" s="1"/>
  <c r="AK136" i="1" s="1"/>
  <c r="AW135" i="1"/>
  <c r="AF135" i="1"/>
  <c r="O171" i="1"/>
  <c r="P45" i="1"/>
  <c r="X45" i="1"/>
  <c r="T133" i="1"/>
  <c r="C134" i="1"/>
  <c r="G135" i="1"/>
  <c r="F131" i="1"/>
  <c r="E132" i="1"/>
  <c r="L132" i="1" s="1"/>
  <c r="D135" i="1"/>
  <c r="AG137" i="1" l="1"/>
  <c r="AJ137" i="1" s="1"/>
  <c r="AK137" i="1" s="1"/>
  <c r="AW136" i="1"/>
  <c r="AF136" i="1"/>
  <c r="R45" i="1"/>
  <c r="S45" i="1" s="1"/>
  <c r="U45" i="1" s="1"/>
  <c r="W45" i="1"/>
  <c r="O172" i="1"/>
  <c r="D136" i="1"/>
  <c r="T134" i="1"/>
  <c r="F132" i="1"/>
  <c r="E133" i="1"/>
  <c r="L133" i="1" s="1"/>
  <c r="C135" i="1"/>
  <c r="G136" i="1"/>
  <c r="AG138" i="1" l="1"/>
  <c r="AJ138" i="1" s="1"/>
  <c r="AK138" i="1" s="1"/>
  <c r="AW137" i="1"/>
  <c r="AF137" i="1"/>
  <c r="H46" i="1"/>
  <c r="M46" i="1" s="1"/>
  <c r="Q46" i="1" s="1"/>
  <c r="Y46" i="1" s="1"/>
  <c r="O173" i="1"/>
  <c r="D137" i="1"/>
  <c r="F133" i="1"/>
  <c r="E134" i="1"/>
  <c r="L134" i="1" s="1"/>
  <c r="G137" i="1"/>
  <c r="C136" i="1"/>
  <c r="T135" i="1"/>
  <c r="AG139" i="1" l="1"/>
  <c r="AJ139" i="1" s="1"/>
  <c r="AK139" i="1" s="1"/>
  <c r="AW138" i="1"/>
  <c r="AF138" i="1"/>
  <c r="P46" i="1"/>
  <c r="W46" i="1"/>
  <c r="X46" i="1"/>
  <c r="O174" i="1"/>
  <c r="F134" i="1"/>
  <c r="E135" i="1"/>
  <c r="L135" i="1" s="1"/>
  <c r="T136" i="1"/>
  <c r="D138" i="1"/>
  <c r="R46" i="1"/>
  <c r="S46" i="1" s="1"/>
  <c r="C137" i="1"/>
  <c r="G138" i="1"/>
  <c r="AG140" i="1" l="1"/>
  <c r="AJ140" i="1" s="1"/>
  <c r="AK140" i="1" s="1"/>
  <c r="AW139" i="1"/>
  <c r="AF139" i="1"/>
  <c r="O175" i="1"/>
  <c r="T137" i="1"/>
  <c r="F135" i="1"/>
  <c r="E136" i="1"/>
  <c r="L136" i="1" s="1"/>
  <c r="U46" i="1"/>
  <c r="H47" i="1"/>
  <c r="M47" i="1" s="1"/>
  <c r="Q47" i="1" s="1"/>
  <c r="Y47" i="1" s="1"/>
  <c r="C138" i="1"/>
  <c r="G139" i="1"/>
  <c r="D139" i="1"/>
  <c r="AG141" i="1" l="1"/>
  <c r="AJ141" i="1" s="1"/>
  <c r="AK141" i="1" s="1"/>
  <c r="AW140" i="1"/>
  <c r="AF140" i="1"/>
  <c r="O176" i="1"/>
  <c r="C139" i="1"/>
  <c r="G140" i="1"/>
  <c r="F136" i="1"/>
  <c r="E137" i="1"/>
  <c r="L137" i="1" s="1"/>
  <c r="P47" i="1"/>
  <c r="D140" i="1"/>
  <c r="T138" i="1"/>
  <c r="AG142" i="1" l="1"/>
  <c r="AJ142" i="1" s="1"/>
  <c r="AK142" i="1" s="1"/>
  <c r="AW141" i="1"/>
  <c r="AF141" i="1"/>
  <c r="W47" i="1"/>
  <c r="X47" i="1"/>
  <c r="O177" i="1"/>
  <c r="R47" i="1"/>
  <c r="S47" i="1" s="1"/>
  <c r="H48" i="1" s="1"/>
  <c r="M48" i="1" s="1"/>
  <c r="Q48" i="1" s="1"/>
  <c r="Y48" i="1" s="1"/>
  <c r="F137" i="1"/>
  <c r="E138" i="1"/>
  <c r="L138" i="1" s="1"/>
  <c r="G141" i="1"/>
  <c r="C140" i="1"/>
  <c r="T139" i="1"/>
  <c r="D141" i="1"/>
  <c r="AG143" i="1" l="1"/>
  <c r="AJ143" i="1" s="1"/>
  <c r="AK143" i="1" s="1"/>
  <c r="AW142" i="1"/>
  <c r="AF142" i="1"/>
  <c r="O178" i="1"/>
  <c r="U47" i="1"/>
  <c r="D142" i="1"/>
  <c r="C141" i="1"/>
  <c r="G142" i="1"/>
  <c r="T140" i="1"/>
  <c r="F138" i="1"/>
  <c r="E139" i="1"/>
  <c r="L139" i="1" s="1"/>
  <c r="P48" i="1"/>
  <c r="AG144" i="1" l="1"/>
  <c r="AJ144" i="1" s="1"/>
  <c r="AK144" i="1" s="1"/>
  <c r="AW143" i="1"/>
  <c r="AF143" i="1"/>
  <c r="W48" i="1"/>
  <c r="X48" i="1"/>
  <c r="O179" i="1"/>
  <c r="C142" i="1"/>
  <c r="G143" i="1"/>
  <c r="F139" i="1"/>
  <c r="E140" i="1"/>
  <c r="L140" i="1" s="1"/>
  <c r="T141" i="1"/>
  <c r="R48" i="1"/>
  <c r="S48" i="1" s="1"/>
  <c r="D143" i="1"/>
  <c r="AG145" i="1" l="1"/>
  <c r="AJ145" i="1" s="1"/>
  <c r="AK145" i="1" s="1"/>
  <c r="AW144" i="1"/>
  <c r="AF144" i="1"/>
  <c r="O180" i="1"/>
  <c r="T142" i="1"/>
  <c r="D144" i="1"/>
  <c r="F140" i="1"/>
  <c r="E141" i="1"/>
  <c r="L141" i="1" s="1"/>
  <c r="G144" i="1"/>
  <c r="C143" i="1"/>
  <c r="H49" i="1"/>
  <c r="M49" i="1" s="1"/>
  <c r="Q49" i="1" s="1"/>
  <c r="U48" i="1"/>
  <c r="AG146" i="1" l="1"/>
  <c r="AJ146" i="1" s="1"/>
  <c r="AK146" i="1" s="1"/>
  <c r="AW145" i="1"/>
  <c r="AF145" i="1"/>
  <c r="O181" i="1"/>
  <c r="G145" i="1"/>
  <c r="C144" i="1"/>
  <c r="F141" i="1"/>
  <c r="E142" i="1"/>
  <c r="L142" i="1" s="1"/>
  <c r="D145" i="1"/>
  <c r="P49" i="1"/>
  <c r="T143" i="1"/>
  <c r="AG147" i="1" l="1"/>
  <c r="AJ147" i="1" s="1"/>
  <c r="AK147" i="1" s="1"/>
  <c r="AW146" i="1"/>
  <c r="AF146" i="1"/>
  <c r="W49" i="1"/>
  <c r="X49" i="1"/>
  <c r="O182" i="1"/>
  <c r="F142" i="1"/>
  <c r="E143" i="1"/>
  <c r="L143" i="1" s="1"/>
  <c r="D146" i="1"/>
  <c r="T144" i="1"/>
  <c r="R49" i="1"/>
  <c r="S49" i="1" s="1"/>
  <c r="C145" i="1"/>
  <c r="G146" i="1"/>
  <c r="AG148" i="1" l="1"/>
  <c r="AJ148" i="1" s="1"/>
  <c r="AK148" i="1" s="1"/>
  <c r="AW147" i="1"/>
  <c r="AF147" i="1"/>
  <c r="O183" i="1"/>
  <c r="T145" i="1"/>
  <c r="F143" i="1"/>
  <c r="E144" i="1"/>
  <c r="L144" i="1" s="1"/>
  <c r="C146" i="1"/>
  <c r="G147" i="1"/>
  <c r="H50" i="1"/>
  <c r="M50" i="1" s="1"/>
  <c r="Q50" i="1" s="1"/>
  <c r="U49" i="1"/>
  <c r="D147" i="1"/>
  <c r="AG149" i="1" l="1"/>
  <c r="AJ149" i="1" s="1"/>
  <c r="AK149" i="1" s="1"/>
  <c r="AW148" i="1"/>
  <c r="AF148" i="1"/>
  <c r="O184" i="1"/>
  <c r="G148" i="1"/>
  <c r="C147" i="1"/>
  <c r="F144" i="1"/>
  <c r="E145" i="1"/>
  <c r="L145" i="1" s="1"/>
  <c r="D148" i="1"/>
  <c r="P50" i="1"/>
  <c r="X50" i="1"/>
  <c r="T146" i="1"/>
  <c r="AG150" i="1" l="1"/>
  <c r="AJ150" i="1" s="1"/>
  <c r="AK150" i="1" s="1"/>
  <c r="AW149" i="1"/>
  <c r="AF149" i="1"/>
  <c r="O185" i="1"/>
  <c r="T147" i="1"/>
  <c r="F145" i="1"/>
  <c r="E146" i="1"/>
  <c r="L146" i="1" s="1"/>
  <c r="D149" i="1"/>
  <c r="R50" i="1"/>
  <c r="S50" i="1" s="1"/>
  <c r="G149" i="1"/>
  <c r="C148" i="1"/>
  <c r="AG151" i="1" l="1"/>
  <c r="AJ151" i="1" s="1"/>
  <c r="AK151" i="1" s="1"/>
  <c r="AW150" i="1"/>
  <c r="AF150" i="1"/>
  <c r="O186" i="1"/>
  <c r="C149" i="1"/>
  <c r="G150" i="1"/>
  <c r="F146" i="1"/>
  <c r="E147" i="1"/>
  <c r="L147" i="1" s="1"/>
  <c r="T148" i="1"/>
  <c r="H51" i="1"/>
  <c r="M51" i="1" s="1"/>
  <c r="Q51" i="1" s="1"/>
  <c r="U50" i="1"/>
  <c r="D150" i="1"/>
  <c r="AG152" i="1" l="1"/>
  <c r="AJ152" i="1" s="1"/>
  <c r="AK152" i="1" s="1"/>
  <c r="AW151" i="1"/>
  <c r="AF151" i="1"/>
  <c r="O187" i="1"/>
  <c r="T149" i="1"/>
  <c r="D151" i="1"/>
  <c r="F147" i="1"/>
  <c r="E148" i="1"/>
  <c r="L148" i="1" s="1"/>
  <c r="G151" i="1"/>
  <c r="C150" i="1"/>
  <c r="P51" i="1"/>
  <c r="X51" i="1"/>
  <c r="AG153" i="1" l="1"/>
  <c r="AJ153" i="1" s="1"/>
  <c r="AK153" i="1" s="1"/>
  <c r="AW152" i="1"/>
  <c r="AF152" i="1"/>
  <c r="O188" i="1"/>
  <c r="R51" i="1"/>
  <c r="S51" i="1" s="1"/>
  <c r="U51" i="1" s="1"/>
  <c r="G152" i="1"/>
  <c r="C151" i="1"/>
  <c r="D152" i="1"/>
  <c r="F148" i="1"/>
  <c r="E149" i="1"/>
  <c r="L149" i="1" s="1"/>
  <c r="T150" i="1"/>
  <c r="AG154" i="1" l="1"/>
  <c r="AJ154" i="1" s="1"/>
  <c r="AK154" i="1" s="1"/>
  <c r="AW153" i="1"/>
  <c r="AF153" i="1"/>
  <c r="O189" i="1"/>
  <c r="H52" i="1"/>
  <c r="M52" i="1" s="1"/>
  <c r="T151" i="1"/>
  <c r="G153" i="1"/>
  <c r="C152" i="1"/>
  <c r="F149" i="1"/>
  <c r="E150" i="1"/>
  <c r="L150" i="1" s="1"/>
  <c r="D153" i="1"/>
  <c r="AG155" i="1" l="1"/>
  <c r="AJ155" i="1" s="1"/>
  <c r="AK155" i="1" s="1"/>
  <c r="AW154" i="1"/>
  <c r="AF154" i="1"/>
  <c r="P52" i="1"/>
  <c r="Q52" i="1"/>
  <c r="O190" i="1"/>
  <c r="F150" i="1"/>
  <c r="E151" i="1"/>
  <c r="L151" i="1" s="1"/>
  <c r="T152" i="1"/>
  <c r="C153" i="1"/>
  <c r="G154" i="1"/>
  <c r="D154" i="1"/>
  <c r="AG156" i="1" l="1"/>
  <c r="AJ156" i="1" s="1"/>
  <c r="AK156" i="1" s="1"/>
  <c r="AW155" i="1"/>
  <c r="AF155" i="1"/>
  <c r="R52" i="1"/>
  <c r="S52" i="1" s="1"/>
  <c r="H53" i="1" s="1"/>
  <c r="M53" i="1" s="1"/>
  <c r="Q53" i="1" s="1"/>
  <c r="X52" i="1"/>
  <c r="O191" i="1"/>
  <c r="D155" i="1"/>
  <c r="F151" i="1"/>
  <c r="E152" i="1"/>
  <c r="L152" i="1" s="1"/>
  <c r="G155" i="1"/>
  <c r="C154" i="1"/>
  <c r="T153" i="1"/>
  <c r="AG157" i="1" l="1"/>
  <c r="AJ157" i="1" s="1"/>
  <c r="AK157" i="1" s="1"/>
  <c r="AW156" i="1"/>
  <c r="U52" i="1"/>
  <c r="AF156" i="1"/>
  <c r="O192" i="1"/>
  <c r="P53" i="1"/>
  <c r="X53" i="1"/>
  <c r="F152" i="1"/>
  <c r="E153" i="1"/>
  <c r="L153" i="1" s="1"/>
  <c r="D156" i="1"/>
  <c r="T154" i="1"/>
  <c r="C155" i="1"/>
  <c r="G156" i="1"/>
  <c r="AG158" i="1" l="1"/>
  <c r="AJ158" i="1" s="1"/>
  <c r="AK158" i="1" s="1"/>
  <c r="AW157" i="1"/>
  <c r="AF157" i="1"/>
  <c r="O193" i="1"/>
  <c r="T155" i="1"/>
  <c r="F153" i="1"/>
  <c r="E154" i="1"/>
  <c r="L154" i="1" s="1"/>
  <c r="G157" i="1"/>
  <c r="C156" i="1"/>
  <c r="D157" i="1"/>
  <c r="R53" i="1"/>
  <c r="S53" i="1" s="1"/>
  <c r="AG159" i="1" l="1"/>
  <c r="AJ159" i="1" s="1"/>
  <c r="AK159" i="1" s="1"/>
  <c r="AW158" i="1"/>
  <c r="AF158" i="1"/>
  <c r="O194" i="1"/>
  <c r="U53" i="1"/>
  <c r="H54" i="1"/>
  <c r="M54" i="1" s="1"/>
  <c r="Q54" i="1" s="1"/>
  <c r="C157" i="1"/>
  <c r="G158" i="1"/>
  <c r="D158" i="1"/>
  <c r="F154" i="1"/>
  <c r="E155" i="1"/>
  <c r="L155" i="1" s="1"/>
  <c r="T156" i="1"/>
  <c r="AG160" i="1" l="1"/>
  <c r="AJ160" i="1" s="1"/>
  <c r="AK160" i="1" s="1"/>
  <c r="AW159" i="1"/>
  <c r="AF159" i="1"/>
  <c r="O195" i="1"/>
  <c r="F155" i="1"/>
  <c r="E156" i="1"/>
  <c r="L156" i="1" s="1"/>
  <c r="P54" i="1"/>
  <c r="X54" i="1"/>
  <c r="G159" i="1"/>
  <c r="C158" i="1"/>
  <c r="T157" i="1"/>
  <c r="D159" i="1"/>
  <c r="AG161" i="1" l="1"/>
  <c r="AJ161" i="1" s="1"/>
  <c r="AK161" i="1" s="1"/>
  <c r="AW160" i="1"/>
  <c r="AF160" i="1"/>
  <c r="O196" i="1"/>
  <c r="T158" i="1"/>
  <c r="F156" i="1"/>
  <c r="E157" i="1"/>
  <c r="L157" i="1" s="1"/>
  <c r="G160" i="1"/>
  <c r="C159" i="1"/>
  <c r="D160" i="1"/>
  <c r="R54" i="1"/>
  <c r="S54" i="1" s="1"/>
  <c r="AG162" i="1" l="1"/>
  <c r="AJ162" i="1" s="1"/>
  <c r="AK162" i="1" s="1"/>
  <c r="AW161" i="1"/>
  <c r="AF161" i="1"/>
  <c r="O197" i="1"/>
  <c r="D161" i="1"/>
  <c r="F157" i="1"/>
  <c r="E158" i="1"/>
  <c r="L158" i="1" s="1"/>
  <c r="U54" i="1"/>
  <c r="H55" i="1"/>
  <c r="M55" i="1" s="1"/>
  <c r="Q55" i="1" s="1"/>
  <c r="T159" i="1"/>
  <c r="G161" i="1"/>
  <c r="C160" i="1"/>
  <c r="AG163" i="1" l="1"/>
  <c r="AJ163" i="1" s="1"/>
  <c r="AK163" i="1" s="1"/>
  <c r="AW162" i="1"/>
  <c r="AF162" i="1"/>
  <c r="O198" i="1"/>
  <c r="D162" i="1"/>
  <c r="C161" i="1"/>
  <c r="G162" i="1"/>
  <c r="T160" i="1"/>
  <c r="P55" i="1"/>
  <c r="F158" i="1"/>
  <c r="E159" i="1"/>
  <c r="L159" i="1" s="1"/>
  <c r="AG164" i="1" l="1"/>
  <c r="AJ164" i="1" s="1"/>
  <c r="AK164" i="1" s="1"/>
  <c r="AW163" i="1"/>
  <c r="AF163" i="1"/>
  <c r="R55" i="1"/>
  <c r="S55" i="1" s="1"/>
  <c r="H56" i="1" s="1"/>
  <c r="M56" i="1" s="1"/>
  <c r="Q56" i="1" s="1"/>
  <c r="X55" i="1"/>
  <c r="O199" i="1"/>
  <c r="D163" i="1"/>
  <c r="C162" i="1"/>
  <c r="G163" i="1"/>
  <c r="F159" i="1"/>
  <c r="E160" i="1"/>
  <c r="L160" i="1" s="1"/>
  <c r="T161" i="1"/>
  <c r="AG165" i="1" l="1"/>
  <c r="AJ165" i="1" s="1"/>
  <c r="AK165" i="1" s="1"/>
  <c r="AW164" i="1"/>
  <c r="AF164" i="1"/>
  <c r="U55" i="1"/>
  <c r="O200" i="1"/>
  <c r="F160" i="1"/>
  <c r="E161" i="1"/>
  <c r="L161" i="1" s="1"/>
  <c r="G164" i="1"/>
  <c r="C163" i="1"/>
  <c r="T162" i="1"/>
  <c r="D164" i="1"/>
  <c r="P56" i="1"/>
  <c r="X56" i="1"/>
  <c r="AG166" i="1" l="1"/>
  <c r="AJ166" i="1" s="1"/>
  <c r="AK166" i="1" s="1"/>
  <c r="AW165" i="1"/>
  <c r="AF165" i="1"/>
  <c r="O201" i="1"/>
  <c r="D165" i="1"/>
  <c r="T163" i="1"/>
  <c r="F161" i="1"/>
  <c r="E162" i="1"/>
  <c r="L162" i="1" s="1"/>
  <c r="R56" i="1"/>
  <c r="S56" i="1" s="1"/>
  <c r="G165" i="1"/>
  <c r="C164" i="1"/>
  <c r="AG167" i="1" l="1"/>
  <c r="AJ167" i="1" s="1"/>
  <c r="AK167" i="1" s="1"/>
  <c r="AW166" i="1"/>
  <c r="AF166" i="1"/>
  <c r="O202" i="1"/>
  <c r="D166" i="1"/>
  <c r="C165" i="1"/>
  <c r="G166" i="1"/>
  <c r="F162" i="1"/>
  <c r="E163" i="1"/>
  <c r="L163" i="1" s="1"/>
  <c r="T164" i="1"/>
  <c r="U56" i="1"/>
  <c r="H57" i="1"/>
  <c r="M57" i="1" s="1"/>
  <c r="Q57" i="1" s="1"/>
  <c r="AG168" i="1" l="1"/>
  <c r="AJ168" i="1" s="1"/>
  <c r="AK168" i="1" s="1"/>
  <c r="AW167" i="1"/>
  <c r="AF167" i="1"/>
  <c r="O203" i="1"/>
  <c r="F163" i="1"/>
  <c r="E164" i="1"/>
  <c r="L164" i="1" s="1"/>
  <c r="P57" i="1"/>
  <c r="X57" i="1"/>
  <c r="T165" i="1"/>
  <c r="C166" i="1"/>
  <c r="G167" i="1"/>
  <c r="D167" i="1"/>
  <c r="AG169" i="1" l="1"/>
  <c r="AJ169" i="1" s="1"/>
  <c r="AK169" i="1" s="1"/>
  <c r="AW168" i="1"/>
  <c r="AF168" i="1"/>
  <c r="O204" i="1"/>
  <c r="R57" i="1"/>
  <c r="S57" i="1" s="1"/>
  <c r="H58" i="1" s="1"/>
  <c r="M58" i="1" s="1"/>
  <c r="Q58" i="1" s="1"/>
  <c r="D168" i="1"/>
  <c r="T166" i="1"/>
  <c r="F164" i="1"/>
  <c r="E165" i="1"/>
  <c r="L165" i="1" s="1"/>
  <c r="C167" i="1"/>
  <c r="G168" i="1"/>
  <c r="AG170" i="1" l="1"/>
  <c r="AJ170" i="1" s="1"/>
  <c r="AK170" i="1" s="1"/>
  <c r="AW169" i="1"/>
  <c r="AF169" i="1"/>
  <c r="O205" i="1"/>
  <c r="U57" i="1"/>
  <c r="G169" i="1"/>
  <c r="C168" i="1"/>
  <c r="D169" i="1"/>
  <c r="F165" i="1"/>
  <c r="E166" i="1"/>
  <c r="L166" i="1" s="1"/>
  <c r="T167" i="1"/>
  <c r="P58" i="1"/>
  <c r="X58" i="1"/>
  <c r="AG171" i="1" l="1"/>
  <c r="AJ171" i="1" s="1"/>
  <c r="AK171" i="1" s="1"/>
  <c r="AW170" i="1"/>
  <c r="AF170" i="1"/>
  <c r="O206" i="1"/>
  <c r="D170" i="1"/>
  <c r="F166" i="1"/>
  <c r="E167" i="1"/>
  <c r="L167" i="1" s="1"/>
  <c r="T168" i="1"/>
  <c r="R58" i="1"/>
  <c r="S58" i="1" s="1"/>
  <c r="C169" i="1"/>
  <c r="G170" i="1"/>
  <c r="AG172" i="1" l="1"/>
  <c r="AJ172" i="1" s="1"/>
  <c r="AK172" i="1" s="1"/>
  <c r="AW171" i="1"/>
  <c r="AF171" i="1"/>
  <c r="O207" i="1"/>
  <c r="T169" i="1"/>
  <c r="C170" i="1"/>
  <c r="G171" i="1"/>
  <c r="H59" i="1"/>
  <c r="M59" i="1" s="1"/>
  <c r="Q59" i="1" s="1"/>
  <c r="U58" i="1"/>
  <c r="F167" i="1"/>
  <c r="E168" i="1"/>
  <c r="L168" i="1" s="1"/>
  <c r="D171" i="1"/>
  <c r="AG173" i="1" l="1"/>
  <c r="AJ173" i="1" s="1"/>
  <c r="AK173" i="1" s="1"/>
  <c r="AW172" i="1"/>
  <c r="AF172" i="1"/>
  <c r="O208" i="1"/>
  <c r="D172" i="1"/>
  <c r="C171" i="1"/>
  <c r="G172" i="1"/>
  <c r="F168" i="1"/>
  <c r="E169" i="1"/>
  <c r="L169" i="1" s="1"/>
  <c r="P59" i="1"/>
  <c r="X59" i="1"/>
  <c r="T170" i="1"/>
  <c r="AG174" i="1" l="1"/>
  <c r="AJ174" i="1" s="1"/>
  <c r="AK174" i="1" s="1"/>
  <c r="AW173" i="1"/>
  <c r="AF173" i="1"/>
  <c r="O209" i="1"/>
  <c r="R59" i="1"/>
  <c r="S59" i="1" s="1"/>
  <c r="U59" i="1" s="1"/>
  <c r="T171" i="1"/>
  <c r="G173" i="1"/>
  <c r="C172" i="1"/>
  <c r="D173" i="1"/>
  <c r="F169" i="1"/>
  <c r="E170" i="1"/>
  <c r="L170" i="1" s="1"/>
  <c r="AG175" i="1" l="1"/>
  <c r="AJ175" i="1" s="1"/>
  <c r="AK175" i="1" s="1"/>
  <c r="AW174" i="1"/>
  <c r="AF174" i="1"/>
  <c r="O210" i="1"/>
  <c r="H60" i="1"/>
  <c r="M60" i="1" s="1"/>
  <c r="D174" i="1"/>
  <c r="F170" i="1"/>
  <c r="E171" i="1"/>
  <c r="L171" i="1" s="1"/>
  <c r="T172" i="1"/>
  <c r="C173" i="1"/>
  <c r="G174" i="1"/>
  <c r="AG176" i="1" l="1"/>
  <c r="AJ176" i="1" s="1"/>
  <c r="AK176" i="1" s="1"/>
  <c r="AW175" i="1"/>
  <c r="AF175" i="1"/>
  <c r="P60" i="1"/>
  <c r="Q60" i="1"/>
  <c r="O211" i="1"/>
  <c r="F171" i="1"/>
  <c r="E172" i="1"/>
  <c r="L172" i="1" s="1"/>
  <c r="C174" i="1"/>
  <c r="G175" i="1"/>
  <c r="T173" i="1"/>
  <c r="D175" i="1"/>
  <c r="AG177" i="1" l="1"/>
  <c r="AJ177" i="1" s="1"/>
  <c r="AK177" i="1" s="1"/>
  <c r="AW176" i="1"/>
  <c r="AF176" i="1"/>
  <c r="R60" i="1"/>
  <c r="S60" i="1" s="1"/>
  <c r="H61" i="1" s="1"/>
  <c r="M61" i="1" s="1"/>
  <c r="X60" i="1"/>
  <c r="O212" i="1"/>
  <c r="G176" i="1"/>
  <c r="C175" i="1"/>
  <c r="F172" i="1"/>
  <c r="E173" i="1"/>
  <c r="L173" i="1" s="1"/>
  <c r="D176" i="1"/>
  <c r="T174" i="1"/>
  <c r="AG178" i="1" l="1"/>
  <c r="AJ178" i="1" s="1"/>
  <c r="AK178" i="1" s="1"/>
  <c r="AW177" i="1"/>
  <c r="AF177" i="1"/>
  <c r="P61" i="1"/>
  <c r="Q61" i="1"/>
  <c r="X61" i="1" s="1"/>
  <c r="U60" i="1"/>
  <c r="O213" i="1"/>
  <c r="T175" i="1"/>
  <c r="F173" i="1"/>
  <c r="E174" i="1"/>
  <c r="L174" i="1" s="1"/>
  <c r="D177" i="1"/>
  <c r="G177" i="1"/>
  <c r="C176" i="1"/>
  <c r="AG179" i="1" l="1"/>
  <c r="AJ179" i="1" s="1"/>
  <c r="AK179" i="1" s="1"/>
  <c r="AW178" i="1"/>
  <c r="AF178" i="1"/>
  <c r="R61" i="1"/>
  <c r="S61" i="1" s="1"/>
  <c r="U61" i="1" s="1"/>
  <c r="O214" i="1"/>
  <c r="C177" i="1"/>
  <c r="G178" i="1"/>
  <c r="D178" i="1"/>
  <c r="F174" i="1"/>
  <c r="E175" i="1"/>
  <c r="L175" i="1" s="1"/>
  <c r="T176" i="1"/>
  <c r="AG180" i="1" l="1"/>
  <c r="AJ180" i="1" s="1"/>
  <c r="AK180" i="1" s="1"/>
  <c r="AW179" i="1"/>
  <c r="AF179" i="1"/>
  <c r="H62" i="1"/>
  <c r="M62" i="1" s="1"/>
  <c r="O215" i="1"/>
  <c r="T177" i="1"/>
  <c r="C178" i="1"/>
  <c r="G179" i="1"/>
  <c r="F175" i="1"/>
  <c r="E176" i="1"/>
  <c r="L176" i="1" s="1"/>
  <c r="D179" i="1"/>
  <c r="AG181" i="1" l="1"/>
  <c r="AJ181" i="1" s="1"/>
  <c r="AK181" i="1" s="1"/>
  <c r="AW180" i="1"/>
  <c r="AF180" i="1"/>
  <c r="P62" i="1"/>
  <c r="Q62" i="1"/>
  <c r="X62" i="1" s="1"/>
  <c r="O216" i="1"/>
  <c r="D180" i="1"/>
  <c r="T178" i="1"/>
  <c r="F176" i="1"/>
  <c r="E177" i="1"/>
  <c r="L177" i="1" s="1"/>
  <c r="C179" i="1"/>
  <c r="G180" i="1"/>
  <c r="AG182" i="1" l="1"/>
  <c r="AJ182" i="1" s="1"/>
  <c r="AK182" i="1" s="1"/>
  <c r="AW181" i="1"/>
  <c r="AF181" i="1"/>
  <c r="R62" i="1"/>
  <c r="S62" i="1" s="1"/>
  <c r="U62" i="1" s="1"/>
  <c r="O217" i="1"/>
  <c r="D181" i="1"/>
  <c r="F177" i="1"/>
  <c r="E178" i="1"/>
  <c r="L178" i="1" s="1"/>
  <c r="G181" i="1"/>
  <c r="C180" i="1"/>
  <c r="T179" i="1"/>
  <c r="AG183" i="1" l="1"/>
  <c r="AJ183" i="1" s="1"/>
  <c r="AK183" i="1" s="1"/>
  <c r="AW182" i="1"/>
  <c r="AF182" i="1"/>
  <c r="H63" i="1"/>
  <c r="M63" i="1" s="1"/>
  <c r="P63" i="1" s="1"/>
  <c r="O218" i="1"/>
  <c r="D182" i="1"/>
  <c r="C181" i="1"/>
  <c r="G182" i="1"/>
  <c r="F178" i="1"/>
  <c r="E179" i="1"/>
  <c r="L179" i="1" s="1"/>
  <c r="T180" i="1"/>
  <c r="AG184" i="1" l="1"/>
  <c r="AJ184" i="1" s="1"/>
  <c r="AK184" i="1" s="1"/>
  <c r="AW183" i="1"/>
  <c r="AF183" i="1"/>
  <c r="Q63" i="1"/>
  <c r="X63" i="1" s="1"/>
  <c r="O219" i="1"/>
  <c r="D183" i="1"/>
  <c r="F179" i="1"/>
  <c r="E180" i="1"/>
  <c r="L180" i="1" s="1"/>
  <c r="C182" i="1"/>
  <c r="G183" i="1"/>
  <c r="T181" i="1"/>
  <c r="AG185" i="1" l="1"/>
  <c r="AJ185" i="1" s="1"/>
  <c r="AK185" i="1" s="1"/>
  <c r="AW184" i="1"/>
  <c r="AF184" i="1"/>
  <c r="R63" i="1"/>
  <c r="S63" i="1" s="1"/>
  <c r="U63" i="1" s="1"/>
  <c r="O220" i="1"/>
  <c r="F180" i="1"/>
  <c r="E181" i="1"/>
  <c r="L181" i="1" s="1"/>
  <c r="T182" i="1"/>
  <c r="D184" i="1"/>
  <c r="C183" i="1"/>
  <c r="G184" i="1"/>
  <c r="AG186" i="1" l="1"/>
  <c r="AJ186" i="1" s="1"/>
  <c r="AK186" i="1" s="1"/>
  <c r="AW185" i="1"/>
  <c r="H64" i="1"/>
  <c r="M64" i="1" s="1"/>
  <c r="P64" i="1" s="1"/>
  <c r="AF185" i="1"/>
  <c r="O221" i="1"/>
  <c r="T183" i="1"/>
  <c r="G185" i="1"/>
  <c r="C184" i="1"/>
  <c r="D185" i="1"/>
  <c r="F181" i="1"/>
  <c r="E182" i="1"/>
  <c r="L182" i="1" s="1"/>
  <c r="Q64" i="1" l="1"/>
  <c r="X64" i="1" s="1"/>
  <c r="AG187" i="1"/>
  <c r="AJ187" i="1" s="1"/>
  <c r="AK187" i="1" s="1"/>
  <c r="AW186" i="1"/>
  <c r="AF186" i="1"/>
  <c r="O222" i="1"/>
  <c r="D186" i="1"/>
  <c r="T184" i="1"/>
  <c r="F182" i="1"/>
  <c r="E183" i="1"/>
  <c r="L183" i="1" s="1"/>
  <c r="C185" i="1"/>
  <c r="G186" i="1"/>
  <c r="R64" i="1" l="1"/>
  <c r="S64" i="1" s="1"/>
  <c r="AG188" i="1"/>
  <c r="AJ188" i="1" s="1"/>
  <c r="AK188" i="1" s="1"/>
  <c r="AW187" i="1"/>
  <c r="AF187" i="1"/>
  <c r="H65" i="1"/>
  <c r="M65" i="1" s="1"/>
  <c r="Q65" i="1" s="1"/>
  <c r="U64" i="1"/>
  <c r="O223" i="1"/>
  <c r="C186" i="1"/>
  <c r="G187" i="1"/>
  <c r="T185" i="1"/>
  <c r="F183" i="1"/>
  <c r="E184" i="1"/>
  <c r="L184" i="1" s="1"/>
  <c r="D187" i="1"/>
  <c r="AG189" i="1" l="1"/>
  <c r="AJ189" i="1" s="1"/>
  <c r="AK189" i="1" s="1"/>
  <c r="AW188" i="1"/>
  <c r="AF188" i="1"/>
  <c r="P65" i="1"/>
  <c r="O224" i="1"/>
  <c r="D188" i="1"/>
  <c r="C187" i="1"/>
  <c r="G188" i="1"/>
  <c r="F184" i="1"/>
  <c r="E185" i="1"/>
  <c r="L185" i="1" s="1"/>
  <c r="T186" i="1"/>
  <c r="AG190" i="1" l="1"/>
  <c r="AJ190" i="1" s="1"/>
  <c r="AK190" i="1" s="1"/>
  <c r="AW189" i="1"/>
  <c r="AF189" i="1"/>
  <c r="X65" i="1"/>
  <c r="R65" i="1"/>
  <c r="S65" i="1" s="1"/>
  <c r="O225" i="1"/>
  <c r="T187" i="1"/>
  <c r="D189" i="1"/>
  <c r="F185" i="1"/>
  <c r="E186" i="1"/>
  <c r="L186" i="1" s="1"/>
  <c r="G189" i="1"/>
  <c r="C188" i="1"/>
  <c r="AG191" i="1" l="1"/>
  <c r="AJ191" i="1" s="1"/>
  <c r="AK191" i="1" s="1"/>
  <c r="AW190" i="1"/>
  <c r="AF190" i="1"/>
  <c r="U65" i="1"/>
  <c r="H66" i="1"/>
  <c r="M66" i="1" s="1"/>
  <c r="Q66" i="1" s="1"/>
  <c r="O226" i="1"/>
  <c r="C189" i="1"/>
  <c r="G190" i="1"/>
  <c r="F186" i="1"/>
  <c r="E187" i="1"/>
  <c r="L187" i="1" s="1"/>
  <c r="D190" i="1"/>
  <c r="T188" i="1"/>
  <c r="AG192" i="1" l="1"/>
  <c r="AJ192" i="1" s="1"/>
  <c r="AK192" i="1" s="1"/>
  <c r="AW191" i="1"/>
  <c r="AF191" i="1"/>
  <c r="P66" i="1"/>
  <c r="O227" i="1"/>
  <c r="D191" i="1"/>
  <c r="C190" i="1"/>
  <c r="G191" i="1"/>
  <c r="T189" i="1"/>
  <c r="F187" i="1"/>
  <c r="E188" i="1"/>
  <c r="L188" i="1" s="1"/>
  <c r="AG193" i="1" l="1"/>
  <c r="AJ193" i="1" s="1"/>
  <c r="AK193" i="1" s="1"/>
  <c r="AW192" i="1"/>
  <c r="AF192" i="1"/>
  <c r="R66" i="1"/>
  <c r="S66" i="1" s="1"/>
  <c r="U66" i="1" s="1"/>
  <c r="O228" i="1"/>
  <c r="D192" i="1"/>
  <c r="G192" i="1"/>
  <c r="C191" i="1"/>
  <c r="F188" i="1"/>
  <c r="E189" i="1"/>
  <c r="L189" i="1" s="1"/>
  <c r="T190" i="1"/>
  <c r="AG194" i="1" l="1"/>
  <c r="AJ194" i="1" s="1"/>
  <c r="AK194" i="1" s="1"/>
  <c r="AW193" i="1"/>
  <c r="AF193" i="1"/>
  <c r="H67" i="1"/>
  <c r="M67" i="1" s="1"/>
  <c r="Q67" i="1" s="1"/>
  <c r="O229" i="1"/>
  <c r="T191" i="1"/>
  <c r="F189" i="1"/>
  <c r="E190" i="1"/>
  <c r="L190" i="1" s="1"/>
  <c r="G193" i="1"/>
  <c r="C192" i="1"/>
  <c r="D193" i="1"/>
  <c r="AG195" i="1" l="1"/>
  <c r="AJ195" i="1" s="1"/>
  <c r="AK195" i="1" s="1"/>
  <c r="AW194" i="1"/>
  <c r="AF194" i="1"/>
  <c r="P67" i="1"/>
  <c r="R67" i="1" s="1"/>
  <c r="S67" i="1" s="1"/>
  <c r="U67" i="1" s="1"/>
  <c r="O230" i="1"/>
  <c r="D194" i="1"/>
  <c r="C193" i="1"/>
  <c r="G194" i="1"/>
  <c r="F190" i="1"/>
  <c r="E191" i="1"/>
  <c r="L191" i="1" s="1"/>
  <c r="T192" i="1"/>
  <c r="AG196" i="1" l="1"/>
  <c r="AJ196" i="1" s="1"/>
  <c r="AK196" i="1" s="1"/>
  <c r="AW195" i="1"/>
  <c r="AF195" i="1"/>
  <c r="H68" i="1"/>
  <c r="M68" i="1" s="1"/>
  <c r="Q68" i="1" s="1"/>
  <c r="O231" i="1"/>
  <c r="F191" i="1"/>
  <c r="E192" i="1"/>
  <c r="L192" i="1" s="1"/>
  <c r="C194" i="1"/>
  <c r="G195" i="1"/>
  <c r="T193" i="1"/>
  <c r="D195" i="1"/>
  <c r="AG197" i="1" l="1"/>
  <c r="AJ197" i="1" s="1"/>
  <c r="AK197" i="1" s="1"/>
  <c r="AW196" i="1"/>
  <c r="AF196" i="1"/>
  <c r="P68" i="1"/>
  <c r="R68" i="1" s="1"/>
  <c r="S68" i="1" s="1"/>
  <c r="H69" i="1" s="1"/>
  <c r="M69" i="1" s="1"/>
  <c r="Q69" i="1" s="1"/>
  <c r="O232" i="1"/>
  <c r="D196" i="1"/>
  <c r="C195" i="1"/>
  <c r="G196" i="1"/>
  <c r="F192" i="1"/>
  <c r="E193" i="1"/>
  <c r="L193" i="1" s="1"/>
  <c r="T194" i="1"/>
  <c r="AG198" i="1" l="1"/>
  <c r="AJ198" i="1" s="1"/>
  <c r="AK198" i="1" s="1"/>
  <c r="AW197" i="1"/>
  <c r="AF197" i="1"/>
  <c r="U68" i="1"/>
  <c r="P69" i="1"/>
  <c r="O233" i="1"/>
  <c r="F193" i="1"/>
  <c r="E194" i="1"/>
  <c r="L194" i="1" s="1"/>
  <c r="G197" i="1"/>
  <c r="C196" i="1"/>
  <c r="T195" i="1"/>
  <c r="D197" i="1"/>
  <c r="AG199" i="1" l="1"/>
  <c r="AJ199" i="1" s="1"/>
  <c r="AK199" i="1" s="1"/>
  <c r="AW198" i="1"/>
  <c r="AF198" i="1"/>
  <c r="R69" i="1"/>
  <c r="S69" i="1" s="1"/>
  <c r="U69" i="1" s="1"/>
  <c r="O234" i="1"/>
  <c r="D198" i="1"/>
  <c r="F194" i="1"/>
  <c r="E195" i="1"/>
  <c r="L195" i="1" s="1"/>
  <c r="C197" i="1"/>
  <c r="G198" i="1"/>
  <c r="T196" i="1"/>
  <c r="AG200" i="1" l="1"/>
  <c r="AJ200" i="1" s="1"/>
  <c r="AK200" i="1" s="1"/>
  <c r="AW199" i="1"/>
  <c r="AF199" i="1"/>
  <c r="H70" i="1"/>
  <c r="M70" i="1" s="1"/>
  <c r="P70" i="1" s="1"/>
  <c r="O235" i="1"/>
  <c r="T197" i="1"/>
  <c r="C198" i="1"/>
  <c r="G199" i="1"/>
  <c r="F195" i="1"/>
  <c r="E196" i="1"/>
  <c r="L196" i="1" s="1"/>
  <c r="D199" i="1"/>
  <c r="AG201" i="1" l="1"/>
  <c r="AJ201" i="1" s="1"/>
  <c r="AK201" i="1" s="1"/>
  <c r="AW200" i="1"/>
  <c r="AF200" i="1"/>
  <c r="Q70" i="1"/>
  <c r="R70" i="1" s="1"/>
  <c r="S70" i="1" s="1"/>
  <c r="U70" i="1" s="1"/>
  <c r="O236" i="1"/>
  <c r="D200" i="1"/>
  <c r="T198" i="1"/>
  <c r="F196" i="1"/>
  <c r="E197" i="1"/>
  <c r="L197" i="1" s="1"/>
  <c r="C199" i="1"/>
  <c r="G200" i="1"/>
  <c r="AG202" i="1" l="1"/>
  <c r="AJ202" i="1" s="1"/>
  <c r="AK202" i="1" s="1"/>
  <c r="AW201" i="1"/>
  <c r="AF201" i="1"/>
  <c r="H71" i="1"/>
  <c r="M71" i="1" s="1"/>
  <c r="Q71" i="1" s="1"/>
  <c r="O237" i="1"/>
  <c r="G201" i="1"/>
  <c r="C200" i="1"/>
  <c r="F197" i="1"/>
  <c r="E198" i="1"/>
  <c r="L198" i="1" s="1"/>
  <c r="D201" i="1"/>
  <c r="T199" i="1"/>
  <c r="AG203" i="1" l="1"/>
  <c r="AJ203" i="1" s="1"/>
  <c r="AK203" i="1" s="1"/>
  <c r="AW202" i="1"/>
  <c r="AF202" i="1"/>
  <c r="P71" i="1"/>
  <c r="R71" i="1" s="1"/>
  <c r="S71" i="1" s="1"/>
  <c r="U71" i="1" s="1"/>
  <c r="O238" i="1"/>
  <c r="C201" i="1"/>
  <c r="G202" i="1"/>
  <c r="F198" i="1"/>
  <c r="E199" i="1"/>
  <c r="L199" i="1" s="1"/>
  <c r="T200" i="1"/>
  <c r="D202" i="1"/>
  <c r="AG204" i="1" l="1"/>
  <c r="AJ204" i="1" s="1"/>
  <c r="AK204" i="1" s="1"/>
  <c r="AW203" i="1"/>
  <c r="AF203" i="1"/>
  <c r="H72" i="1"/>
  <c r="M72" i="1" s="1"/>
  <c r="P72" i="1" s="1"/>
  <c r="O239" i="1"/>
  <c r="C202" i="1"/>
  <c r="G203" i="1"/>
  <c r="T201" i="1"/>
  <c r="D203" i="1"/>
  <c r="F199" i="1"/>
  <c r="E200" i="1"/>
  <c r="L200" i="1" s="1"/>
  <c r="AG205" i="1" l="1"/>
  <c r="AJ205" i="1" s="1"/>
  <c r="AK205" i="1" s="1"/>
  <c r="AW204" i="1"/>
  <c r="AF204" i="1"/>
  <c r="Q72" i="1"/>
  <c r="R72" i="1" s="1"/>
  <c r="S72" i="1" s="1"/>
  <c r="O240" i="1"/>
  <c r="T202" i="1"/>
  <c r="F200" i="1"/>
  <c r="E201" i="1"/>
  <c r="L201" i="1" s="1"/>
  <c r="C203" i="1"/>
  <c r="G204" i="1"/>
  <c r="D204" i="1"/>
  <c r="AG206" i="1" l="1"/>
  <c r="AJ206" i="1" s="1"/>
  <c r="AK206" i="1" s="1"/>
  <c r="AW205" i="1"/>
  <c r="AF205" i="1"/>
  <c r="U72" i="1"/>
  <c r="H73" i="1"/>
  <c r="M73" i="1" s="1"/>
  <c r="Q73" i="1" s="1"/>
  <c r="O241" i="1"/>
  <c r="G205" i="1"/>
  <c r="C204" i="1"/>
  <c r="D205" i="1"/>
  <c r="F201" i="1"/>
  <c r="E202" i="1"/>
  <c r="L202" i="1" s="1"/>
  <c r="T203" i="1"/>
  <c r="AG207" i="1" l="1"/>
  <c r="AJ207" i="1" s="1"/>
  <c r="AK207" i="1" s="1"/>
  <c r="AW206" i="1"/>
  <c r="AF206" i="1"/>
  <c r="P73" i="1"/>
  <c r="R73" i="1" s="1"/>
  <c r="S73" i="1" s="1"/>
  <c r="O242" i="1"/>
  <c r="T204" i="1"/>
  <c r="F202" i="1"/>
  <c r="E203" i="1"/>
  <c r="L203" i="1" s="1"/>
  <c r="D206" i="1"/>
  <c r="G206" i="1"/>
  <c r="C205" i="1"/>
  <c r="AG208" i="1" l="1"/>
  <c r="AJ208" i="1" s="1"/>
  <c r="AK208" i="1" s="1"/>
  <c r="AW207" i="1"/>
  <c r="AF207" i="1"/>
  <c r="O243" i="1"/>
  <c r="D207" i="1"/>
  <c r="F203" i="1"/>
  <c r="E204" i="1"/>
  <c r="L204" i="1" s="1"/>
  <c r="T205" i="1"/>
  <c r="C206" i="1"/>
  <c r="G207" i="1"/>
  <c r="U73" i="1"/>
  <c r="H74" i="1"/>
  <c r="M74" i="1" s="1"/>
  <c r="Q74" i="1" s="1"/>
  <c r="AG209" i="1" l="1"/>
  <c r="AJ209" i="1" s="1"/>
  <c r="AK209" i="1" s="1"/>
  <c r="AW208" i="1"/>
  <c r="AF208" i="1"/>
  <c r="O244" i="1"/>
  <c r="P74" i="1"/>
  <c r="T206" i="1"/>
  <c r="D208" i="1"/>
  <c r="C207" i="1"/>
  <c r="G208" i="1"/>
  <c r="F204" i="1"/>
  <c r="E205" i="1"/>
  <c r="L205" i="1" s="1"/>
  <c r="AG210" i="1" l="1"/>
  <c r="AJ210" i="1" s="1"/>
  <c r="AK210" i="1" s="1"/>
  <c r="AW209" i="1"/>
  <c r="AF209" i="1"/>
  <c r="O245" i="1"/>
  <c r="R74" i="1"/>
  <c r="S74" i="1" s="1"/>
  <c r="H75" i="1" s="1"/>
  <c r="M75" i="1" s="1"/>
  <c r="Q75" i="1" s="1"/>
  <c r="D209" i="1"/>
  <c r="F205" i="1"/>
  <c r="E206" i="1"/>
  <c r="L206" i="1" s="1"/>
  <c r="C208" i="1"/>
  <c r="G209" i="1"/>
  <c r="T207" i="1"/>
  <c r="AG211" i="1" l="1"/>
  <c r="AJ211" i="1" s="1"/>
  <c r="AK211" i="1" s="1"/>
  <c r="AW210" i="1"/>
  <c r="AF210" i="1"/>
  <c r="O246" i="1"/>
  <c r="U74" i="1"/>
  <c r="F206" i="1"/>
  <c r="E207" i="1"/>
  <c r="L207" i="1" s="1"/>
  <c r="D210" i="1"/>
  <c r="T208" i="1"/>
  <c r="G210" i="1"/>
  <c r="C209" i="1"/>
  <c r="P75" i="1"/>
  <c r="AG212" i="1" l="1"/>
  <c r="AJ212" i="1" s="1"/>
  <c r="AK212" i="1" s="1"/>
  <c r="AW211" i="1"/>
  <c r="AF211" i="1"/>
  <c r="O247" i="1"/>
  <c r="R75" i="1"/>
  <c r="S75" i="1" s="1"/>
  <c r="U75" i="1" s="1"/>
  <c r="C210" i="1"/>
  <c r="G211" i="1"/>
  <c r="D211" i="1"/>
  <c r="T209" i="1"/>
  <c r="F207" i="1"/>
  <c r="E208" i="1"/>
  <c r="L208" i="1" s="1"/>
  <c r="AG213" i="1" l="1"/>
  <c r="AJ213" i="1" s="1"/>
  <c r="AK213" i="1" s="1"/>
  <c r="AW212" i="1"/>
  <c r="AF212" i="1"/>
  <c r="H76" i="1"/>
  <c r="M76" i="1" s="1"/>
  <c r="O248" i="1"/>
  <c r="F208" i="1"/>
  <c r="E209" i="1"/>
  <c r="L209" i="1" s="1"/>
  <c r="T210" i="1"/>
  <c r="D212" i="1"/>
  <c r="C211" i="1"/>
  <c r="G212" i="1"/>
  <c r="AG214" i="1" l="1"/>
  <c r="AJ214" i="1" s="1"/>
  <c r="AK214" i="1" s="1"/>
  <c r="AW213" i="1"/>
  <c r="AF213" i="1"/>
  <c r="P76" i="1"/>
  <c r="Q76" i="1"/>
  <c r="O249" i="1"/>
  <c r="G213" i="1"/>
  <c r="C212" i="1"/>
  <c r="T211" i="1"/>
  <c r="F209" i="1"/>
  <c r="E210" i="1"/>
  <c r="L210" i="1" s="1"/>
  <c r="D213" i="1"/>
  <c r="R76" i="1" l="1"/>
  <c r="S76" i="1" s="1"/>
  <c r="AG215" i="1"/>
  <c r="AJ215" i="1" s="1"/>
  <c r="AK215" i="1" s="1"/>
  <c r="AW214" i="1"/>
  <c r="AF214" i="1"/>
  <c r="H77" i="1"/>
  <c r="M77" i="1" s="1"/>
  <c r="U76" i="1"/>
  <c r="O250" i="1"/>
  <c r="G214" i="1"/>
  <c r="C213" i="1"/>
  <c r="T212" i="1"/>
  <c r="D214" i="1"/>
  <c r="F210" i="1"/>
  <c r="E211" i="1"/>
  <c r="L211" i="1" s="1"/>
  <c r="AG216" i="1" l="1"/>
  <c r="AJ216" i="1" s="1"/>
  <c r="AK216" i="1" s="1"/>
  <c r="AW215" i="1"/>
  <c r="AF215" i="1"/>
  <c r="P77" i="1"/>
  <c r="Q77" i="1"/>
  <c r="O251" i="1"/>
  <c r="T213" i="1"/>
  <c r="F211" i="1"/>
  <c r="E212" i="1"/>
  <c r="L212" i="1" s="1"/>
  <c r="D215" i="1"/>
  <c r="C214" i="1"/>
  <c r="G215" i="1"/>
  <c r="R77" i="1" l="1"/>
  <c r="S77" i="1" s="1"/>
  <c r="AG217" i="1"/>
  <c r="AJ217" i="1" s="1"/>
  <c r="AK217" i="1" s="1"/>
  <c r="AW216" i="1"/>
  <c r="AF216" i="1"/>
  <c r="U77" i="1"/>
  <c r="H78" i="1"/>
  <c r="M78" i="1" s="1"/>
  <c r="O252" i="1"/>
  <c r="C215" i="1"/>
  <c r="G216" i="1"/>
  <c r="F212" i="1"/>
  <c r="E213" i="1"/>
  <c r="L213" i="1" s="1"/>
  <c r="D216" i="1"/>
  <c r="T214" i="1"/>
  <c r="AG218" i="1" l="1"/>
  <c r="AJ218" i="1" s="1"/>
  <c r="AK218" i="1" s="1"/>
  <c r="AW217" i="1"/>
  <c r="AF217" i="1"/>
  <c r="P78" i="1"/>
  <c r="Q78" i="1"/>
  <c r="O253" i="1"/>
  <c r="F213" i="1"/>
  <c r="E214" i="1"/>
  <c r="L214" i="1" s="1"/>
  <c r="C216" i="1"/>
  <c r="G217" i="1"/>
  <c r="T215" i="1"/>
  <c r="D217" i="1"/>
  <c r="AG219" i="1" l="1"/>
  <c r="AJ219" i="1" s="1"/>
  <c r="AK219" i="1" s="1"/>
  <c r="AW218" i="1"/>
  <c r="AF218" i="1"/>
  <c r="R78" i="1"/>
  <c r="S78" i="1" s="1"/>
  <c r="H79" i="1" s="1"/>
  <c r="M79" i="1" s="1"/>
  <c r="Q79" i="1" s="1"/>
  <c r="O254" i="1"/>
  <c r="G218" i="1"/>
  <c r="C217" i="1"/>
  <c r="D218" i="1"/>
  <c r="F214" i="1"/>
  <c r="E215" i="1"/>
  <c r="L215" i="1" s="1"/>
  <c r="T216" i="1"/>
  <c r="AG220" i="1" l="1"/>
  <c r="AJ220" i="1" s="1"/>
  <c r="AK220" i="1" s="1"/>
  <c r="AW219" i="1"/>
  <c r="U78" i="1"/>
  <c r="AF219" i="1"/>
  <c r="P79" i="1"/>
  <c r="R79" i="1" s="1"/>
  <c r="S79" i="1" s="1"/>
  <c r="U79" i="1" s="1"/>
  <c r="O255" i="1"/>
  <c r="D219" i="1"/>
  <c r="T217" i="1"/>
  <c r="F215" i="1"/>
  <c r="E216" i="1"/>
  <c r="L216" i="1" s="1"/>
  <c r="C218" i="1"/>
  <c r="G219" i="1"/>
  <c r="AG221" i="1" l="1"/>
  <c r="AJ221" i="1" s="1"/>
  <c r="AK221" i="1" s="1"/>
  <c r="AW220" i="1"/>
  <c r="AF220" i="1"/>
  <c r="H80" i="1"/>
  <c r="M80" i="1" s="1"/>
  <c r="Q80" i="1" s="1"/>
  <c r="O256" i="1"/>
  <c r="C219" i="1"/>
  <c r="G220" i="1"/>
  <c r="D220" i="1"/>
  <c r="T218" i="1"/>
  <c r="F216" i="1"/>
  <c r="E217" i="1"/>
  <c r="L217" i="1" s="1"/>
  <c r="AG222" i="1" l="1"/>
  <c r="AJ222" i="1" s="1"/>
  <c r="AK222" i="1" s="1"/>
  <c r="AW221" i="1"/>
  <c r="AF221" i="1"/>
  <c r="P80" i="1"/>
  <c r="R80" i="1" s="1"/>
  <c r="S80" i="1" s="1"/>
  <c r="H81" i="1" s="1"/>
  <c r="M81" i="1" s="1"/>
  <c r="Q81" i="1" s="1"/>
  <c r="T219" i="1"/>
  <c r="D221" i="1"/>
  <c r="C220" i="1"/>
  <c r="G221" i="1"/>
  <c r="F217" i="1"/>
  <c r="E218" i="1"/>
  <c r="L218" i="1" s="1"/>
  <c r="AG223" i="1" l="1"/>
  <c r="AJ223" i="1" s="1"/>
  <c r="AK223" i="1" s="1"/>
  <c r="AW222" i="1"/>
  <c r="AF222" i="1"/>
  <c r="U80" i="1"/>
  <c r="O257" i="1"/>
  <c r="T220" i="1"/>
  <c r="F218" i="1"/>
  <c r="E219" i="1"/>
  <c r="L219" i="1" s="1"/>
  <c r="G222" i="1"/>
  <c r="C221" i="1"/>
  <c r="D222" i="1"/>
  <c r="P81" i="1"/>
  <c r="AG224" i="1" l="1"/>
  <c r="AJ224" i="1" s="1"/>
  <c r="AK224" i="1" s="1"/>
  <c r="AW223" i="1"/>
  <c r="AF223" i="1"/>
  <c r="O258" i="1"/>
  <c r="R81" i="1"/>
  <c r="S81" i="1" s="1"/>
  <c r="H82" i="1" s="1"/>
  <c r="M82" i="1" s="1"/>
  <c r="Q82" i="1" s="1"/>
  <c r="C222" i="1"/>
  <c r="G223" i="1"/>
  <c r="D223" i="1"/>
  <c r="F219" i="1"/>
  <c r="E220" i="1"/>
  <c r="L220" i="1" s="1"/>
  <c r="T221" i="1"/>
  <c r="AG225" i="1" l="1"/>
  <c r="AJ225" i="1" s="1"/>
  <c r="AK225" i="1" s="1"/>
  <c r="AW224" i="1"/>
  <c r="AF224" i="1"/>
  <c r="O259" i="1"/>
  <c r="U81" i="1"/>
  <c r="T222" i="1"/>
  <c r="D224" i="1"/>
  <c r="F220" i="1"/>
  <c r="E221" i="1"/>
  <c r="L221" i="1" s="1"/>
  <c r="C223" i="1"/>
  <c r="G224" i="1"/>
  <c r="P82" i="1"/>
  <c r="AG226" i="1" l="1"/>
  <c r="AJ226" i="1" s="1"/>
  <c r="AK226" i="1" s="1"/>
  <c r="AW225" i="1"/>
  <c r="AF225" i="1"/>
  <c r="O260" i="1"/>
  <c r="R82" i="1"/>
  <c r="S82" i="1" s="1"/>
  <c r="H83" i="1" s="1"/>
  <c r="M83" i="1" s="1"/>
  <c r="Q83" i="1" s="1"/>
  <c r="F221" i="1"/>
  <c r="E222" i="1"/>
  <c r="L222" i="1" s="1"/>
  <c r="D225" i="1"/>
  <c r="C224" i="1"/>
  <c r="G225" i="1"/>
  <c r="T223" i="1"/>
  <c r="AG227" i="1" l="1"/>
  <c r="AJ227" i="1" s="1"/>
  <c r="AK227" i="1" s="1"/>
  <c r="AW226" i="1"/>
  <c r="AF226" i="1"/>
  <c r="O261" i="1"/>
  <c r="U82" i="1"/>
  <c r="D226" i="1"/>
  <c r="G226" i="1"/>
  <c r="C225" i="1"/>
  <c r="T224" i="1"/>
  <c r="F222" i="1"/>
  <c r="E223" i="1"/>
  <c r="L223" i="1" s="1"/>
  <c r="P83" i="1"/>
  <c r="AG228" i="1" l="1"/>
  <c r="AJ228" i="1" s="1"/>
  <c r="AK228" i="1" s="1"/>
  <c r="AW227" i="1"/>
  <c r="AF227" i="1"/>
  <c r="O262" i="1"/>
  <c r="R83" i="1"/>
  <c r="S83" i="1" s="1"/>
  <c r="H84" i="1" s="1"/>
  <c r="M84" i="1" s="1"/>
  <c r="Q84" i="1" s="1"/>
  <c r="F223" i="1"/>
  <c r="E224" i="1"/>
  <c r="L224" i="1" s="1"/>
  <c r="C226" i="1"/>
  <c r="G227" i="1"/>
  <c r="T225" i="1"/>
  <c r="D227" i="1"/>
  <c r="AG229" i="1" l="1"/>
  <c r="AJ229" i="1" s="1"/>
  <c r="AK229" i="1" s="1"/>
  <c r="AW228" i="1"/>
  <c r="AF228" i="1"/>
  <c r="O263" i="1"/>
  <c r="U83" i="1"/>
  <c r="F224" i="1"/>
  <c r="E225" i="1"/>
  <c r="L225" i="1" s="1"/>
  <c r="D228" i="1"/>
  <c r="C227" i="1"/>
  <c r="G228" i="1"/>
  <c r="P84" i="1"/>
  <c r="T226" i="1"/>
  <c r="AG230" i="1" l="1"/>
  <c r="AJ230" i="1" s="1"/>
  <c r="AK230" i="1" s="1"/>
  <c r="AW229" i="1"/>
  <c r="AF229" i="1"/>
  <c r="O264" i="1"/>
  <c r="R84" i="1"/>
  <c r="S84" i="1" s="1"/>
  <c r="U84" i="1" s="1"/>
  <c r="T227" i="1"/>
  <c r="G229" i="1"/>
  <c r="C228" i="1"/>
  <c r="F225" i="1"/>
  <c r="E226" i="1"/>
  <c r="L226" i="1" s="1"/>
  <c r="D229" i="1"/>
  <c r="AG231" i="1" l="1"/>
  <c r="AJ231" i="1" s="1"/>
  <c r="AK231" i="1" s="1"/>
  <c r="AW230" i="1"/>
  <c r="AF230" i="1"/>
  <c r="H85" i="1"/>
  <c r="M85" i="1" s="1"/>
  <c r="O265" i="1"/>
  <c r="C229" i="1"/>
  <c r="G230" i="1"/>
  <c r="F226" i="1"/>
  <c r="E227" i="1"/>
  <c r="L227" i="1" s="1"/>
  <c r="D230" i="1"/>
  <c r="T228" i="1"/>
  <c r="AG232" i="1" l="1"/>
  <c r="AJ232" i="1" s="1"/>
  <c r="AK232" i="1" s="1"/>
  <c r="AW231" i="1"/>
  <c r="AF231" i="1"/>
  <c r="P85" i="1"/>
  <c r="Q85" i="1"/>
  <c r="O266" i="1"/>
  <c r="T229" i="1"/>
  <c r="F227" i="1"/>
  <c r="E228" i="1"/>
  <c r="L228" i="1" s="1"/>
  <c r="C230" i="1"/>
  <c r="G231" i="1"/>
  <c r="D231" i="1"/>
  <c r="R85" i="1" l="1"/>
  <c r="S85" i="1" s="1"/>
  <c r="U85" i="1" s="1"/>
  <c r="AG233" i="1"/>
  <c r="AJ233" i="1" s="1"/>
  <c r="AK233" i="1" s="1"/>
  <c r="AW232" i="1"/>
  <c r="AF232" i="1"/>
  <c r="O267" i="1"/>
  <c r="H86" i="1"/>
  <c r="M86" i="1" s="1"/>
  <c r="D232" i="1"/>
  <c r="T230" i="1"/>
  <c r="F228" i="1"/>
  <c r="E229" i="1"/>
  <c r="L229" i="1" s="1"/>
  <c r="G232" i="1"/>
  <c r="C231" i="1"/>
  <c r="AG234" i="1" l="1"/>
  <c r="AJ234" i="1" s="1"/>
  <c r="AK234" i="1" s="1"/>
  <c r="AW233" i="1"/>
  <c r="AF233" i="1"/>
  <c r="P86" i="1"/>
  <c r="Q86" i="1"/>
  <c r="O268" i="1"/>
  <c r="T231" i="1"/>
  <c r="F229" i="1"/>
  <c r="E230" i="1"/>
  <c r="L230" i="1" s="1"/>
  <c r="D233" i="1"/>
  <c r="C232" i="1"/>
  <c r="G233" i="1"/>
  <c r="AG235" i="1" l="1"/>
  <c r="AJ235" i="1" s="1"/>
  <c r="AK235" i="1" s="1"/>
  <c r="AW234" i="1"/>
  <c r="R86" i="1"/>
  <c r="S86" i="1" s="1"/>
  <c r="U86" i="1" s="1"/>
  <c r="AF234" i="1"/>
  <c r="O269" i="1"/>
  <c r="G234" i="1"/>
  <c r="C233" i="1"/>
  <c r="F230" i="1"/>
  <c r="E231" i="1"/>
  <c r="L231" i="1" s="1"/>
  <c r="T232" i="1"/>
  <c r="D234" i="1"/>
  <c r="H87" i="1" l="1"/>
  <c r="M87" i="1" s="1"/>
  <c r="Q87" i="1" s="1"/>
  <c r="AG236" i="1"/>
  <c r="AJ236" i="1" s="1"/>
  <c r="AK236" i="1" s="1"/>
  <c r="AW235" i="1"/>
  <c r="AF235" i="1"/>
  <c r="O270" i="1"/>
  <c r="D235" i="1"/>
  <c r="T233" i="1"/>
  <c r="F231" i="1"/>
  <c r="E232" i="1"/>
  <c r="L232" i="1" s="1"/>
  <c r="C234" i="1"/>
  <c r="G235" i="1"/>
  <c r="P87" i="1" l="1"/>
  <c r="R87" i="1"/>
  <c r="S87" i="1" s="1"/>
  <c r="U87" i="1" s="1"/>
  <c r="AG237" i="1"/>
  <c r="AJ237" i="1" s="1"/>
  <c r="AK237" i="1" s="1"/>
  <c r="AW236" i="1"/>
  <c r="AF236" i="1"/>
  <c r="O271" i="1"/>
  <c r="C235" i="1"/>
  <c r="G236" i="1"/>
  <c r="T234" i="1"/>
  <c r="F232" i="1"/>
  <c r="E233" i="1"/>
  <c r="L233" i="1" s="1"/>
  <c r="D236" i="1"/>
  <c r="H88" i="1" l="1"/>
  <c r="M88" i="1" s="1"/>
  <c r="Q88" i="1" s="1"/>
  <c r="AG238" i="1"/>
  <c r="AJ238" i="1" s="1"/>
  <c r="AK238" i="1" s="1"/>
  <c r="AW237" i="1"/>
  <c r="AF237" i="1"/>
  <c r="O272" i="1"/>
  <c r="D237" i="1"/>
  <c r="T235" i="1"/>
  <c r="F233" i="1"/>
  <c r="E234" i="1"/>
  <c r="L234" i="1" s="1"/>
  <c r="C236" i="1"/>
  <c r="G237" i="1"/>
  <c r="P88" i="1" l="1"/>
  <c r="AG239" i="1"/>
  <c r="AJ239" i="1" s="1"/>
  <c r="AK239" i="1" s="1"/>
  <c r="AW238" i="1"/>
  <c r="AF238" i="1"/>
  <c r="R88" i="1"/>
  <c r="S88" i="1" s="1"/>
  <c r="U88" i="1" s="1"/>
  <c r="O273" i="1"/>
  <c r="D238" i="1"/>
  <c r="T236" i="1"/>
  <c r="F234" i="1"/>
  <c r="E235" i="1"/>
  <c r="L235" i="1" s="1"/>
  <c r="G238" i="1"/>
  <c r="C237" i="1"/>
  <c r="AG240" i="1" l="1"/>
  <c r="AJ240" i="1" s="1"/>
  <c r="AK240" i="1" s="1"/>
  <c r="AW239" i="1"/>
  <c r="H89" i="1"/>
  <c r="M89" i="1" s="1"/>
  <c r="Q89" i="1" s="1"/>
  <c r="AF239" i="1"/>
  <c r="O274" i="1"/>
  <c r="C238" i="1"/>
  <c r="G239" i="1"/>
  <c r="F235" i="1"/>
  <c r="E236" i="1"/>
  <c r="L236" i="1" s="1"/>
  <c r="T237" i="1"/>
  <c r="D239" i="1"/>
  <c r="AG241" i="1" l="1"/>
  <c r="AJ241" i="1" s="1"/>
  <c r="AK241" i="1" s="1"/>
  <c r="AW240" i="1"/>
  <c r="P89" i="1"/>
  <c r="R89" i="1" s="1"/>
  <c r="S89" i="1" s="1"/>
  <c r="H90" i="1" s="1"/>
  <c r="M90" i="1" s="1"/>
  <c r="Q90" i="1" s="1"/>
  <c r="AF240" i="1"/>
  <c r="O275" i="1"/>
  <c r="F236" i="1"/>
  <c r="E237" i="1"/>
  <c r="L237" i="1" s="1"/>
  <c r="D240" i="1"/>
  <c r="T238" i="1"/>
  <c r="C239" i="1"/>
  <c r="G240" i="1"/>
  <c r="AG242" i="1" l="1"/>
  <c r="AJ242" i="1" s="1"/>
  <c r="AK242" i="1" s="1"/>
  <c r="AW241" i="1"/>
  <c r="P90" i="1"/>
  <c r="R90" i="1" s="1"/>
  <c r="S90" i="1" s="1"/>
  <c r="U89" i="1"/>
  <c r="AF241" i="1"/>
  <c r="O276" i="1"/>
  <c r="D241" i="1"/>
  <c r="C240" i="1"/>
  <c r="G241" i="1"/>
  <c r="T239" i="1"/>
  <c r="F237" i="1"/>
  <c r="E238" i="1"/>
  <c r="L238" i="1" s="1"/>
  <c r="AG243" i="1" l="1"/>
  <c r="AJ243" i="1" s="1"/>
  <c r="AK243" i="1" s="1"/>
  <c r="AW242" i="1"/>
  <c r="AF242" i="1"/>
  <c r="O277" i="1"/>
  <c r="G242" i="1"/>
  <c r="C241" i="1"/>
  <c r="F238" i="1"/>
  <c r="E239" i="1"/>
  <c r="L239" i="1" s="1"/>
  <c r="U90" i="1"/>
  <c r="H91" i="1"/>
  <c r="M91" i="1" s="1"/>
  <c r="Q91" i="1" s="1"/>
  <c r="D242" i="1"/>
  <c r="T240" i="1"/>
  <c r="AG244" i="1" l="1"/>
  <c r="AJ244" i="1" s="1"/>
  <c r="AK244" i="1" s="1"/>
  <c r="AW243" i="1"/>
  <c r="AF243" i="1"/>
  <c r="O278" i="1"/>
  <c r="T241" i="1"/>
  <c r="D243" i="1"/>
  <c r="F239" i="1"/>
  <c r="E240" i="1"/>
  <c r="L240" i="1" s="1"/>
  <c r="P91" i="1"/>
  <c r="C242" i="1"/>
  <c r="G243" i="1"/>
  <c r="AG245" i="1" l="1"/>
  <c r="AJ245" i="1" s="1"/>
  <c r="AK245" i="1" s="1"/>
  <c r="AW244" i="1"/>
  <c r="AF244" i="1"/>
  <c r="O279" i="1"/>
  <c r="R91" i="1"/>
  <c r="S91" i="1" s="1"/>
  <c r="U91" i="1" s="1"/>
  <c r="C243" i="1"/>
  <c r="G244" i="1"/>
  <c r="T242" i="1"/>
  <c r="F240" i="1"/>
  <c r="E241" i="1"/>
  <c r="L241" i="1" s="1"/>
  <c r="D244" i="1"/>
  <c r="AG246" i="1" l="1"/>
  <c r="AJ246" i="1" s="1"/>
  <c r="AK246" i="1" s="1"/>
  <c r="AW245" i="1"/>
  <c r="AF245" i="1"/>
  <c r="H92" i="1"/>
  <c r="M92" i="1" s="1"/>
  <c r="Q92" i="1" s="1"/>
  <c r="O280" i="1"/>
  <c r="F241" i="1"/>
  <c r="E242" i="1"/>
  <c r="L242" i="1" s="1"/>
  <c r="T243" i="1"/>
  <c r="D245" i="1"/>
  <c r="C244" i="1"/>
  <c r="G245" i="1"/>
  <c r="AG247" i="1" l="1"/>
  <c r="AJ247" i="1" s="1"/>
  <c r="AK247" i="1" s="1"/>
  <c r="AW246" i="1"/>
  <c r="AF246" i="1"/>
  <c r="P92" i="1"/>
  <c r="R92" i="1" s="1"/>
  <c r="S92" i="1" s="1"/>
  <c r="H93" i="1" s="1"/>
  <c r="M93" i="1" s="1"/>
  <c r="Q93" i="1" s="1"/>
  <c r="O281" i="1"/>
  <c r="G246" i="1"/>
  <c r="C245" i="1"/>
  <c r="F242" i="1"/>
  <c r="E243" i="1"/>
  <c r="L243" i="1" s="1"/>
  <c r="D246" i="1"/>
  <c r="T244" i="1"/>
  <c r="AG248" i="1" l="1"/>
  <c r="AJ248" i="1" s="1"/>
  <c r="AK248" i="1" s="1"/>
  <c r="AW247" i="1"/>
  <c r="AF247" i="1"/>
  <c r="O282" i="1"/>
  <c r="U92" i="1"/>
  <c r="T245" i="1"/>
  <c r="C246" i="1"/>
  <c r="G247" i="1"/>
  <c r="F243" i="1"/>
  <c r="E244" i="1"/>
  <c r="L244" i="1" s="1"/>
  <c r="P93" i="1"/>
  <c r="D247" i="1"/>
  <c r="AG249" i="1" l="1"/>
  <c r="AJ249" i="1" s="1"/>
  <c r="AK249" i="1" s="1"/>
  <c r="AW248" i="1"/>
  <c r="AF248" i="1"/>
  <c r="R93" i="1"/>
  <c r="S93" i="1" s="1"/>
  <c r="U93" i="1" s="1"/>
  <c r="O283" i="1"/>
  <c r="T246" i="1"/>
  <c r="D248" i="1"/>
  <c r="F244" i="1"/>
  <c r="E245" i="1"/>
  <c r="L245" i="1" s="1"/>
  <c r="C247" i="1"/>
  <c r="G248" i="1"/>
  <c r="AG250" i="1" l="1"/>
  <c r="AJ250" i="1" s="1"/>
  <c r="AK250" i="1" s="1"/>
  <c r="AW249" i="1"/>
  <c r="AF249" i="1"/>
  <c r="H94" i="1"/>
  <c r="M94" i="1" s="1"/>
  <c r="O284" i="1"/>
  <c r="D249" i="1"/>
  <c r="T247" i="1"/>
  <c r="C248" i="1"/>
  <c r="G249" i="1"/>
  <c r="F245" i="1"/>
  <c r="E246" i="1"/>
  <c r="L246" i="1" s="1"/>
  <c r="AG251" i="1" l="1"/>
  <c r="AJ251" i="1" s="1"/>
  <c r="AK251" i="1" s="1"/>
  <c r="AW250" i="1"/>
  <c r="AF250" i="1"/>
  <c r="P94" i="1"/>
  <c r="Q94" i="1"/>
  <c r="O285" i="1"/>
  <c r="F246" i="1"/>
  <c r="E247" i="1"/>
  <c r="L247" i="1" s="1"/>
  <c r="G250" i="1"/>
  <c r="C249" i="1"/>
  <c r="D250" i="1"/>
  <c r="T248" i="1"/>
  <c r="AG252" i="1" l="1"/>
  <c r="AJ252" i="1" s="1"/>
  <c r="AK252" i="1" s="1"/>
  <c r="AW251" i="1"/>
  <c r="AF251" i="1"/>
  <c r="R94" i="1"/>
  <c r="S94" i="1" s="1"/>
  <c r="U94" i="1" s="1"/>
  <c r="O286" i="1"/>
  <c r="C250" i="1"/>
  <c r="G251" i="1"/>
  <c r="T249" i="1"/>
  <c r="D251" i="1"/>
  <c r="F247" i="1"/>
  <c r="E248" i="1"/>
  <c r="L248" i="1" s="1"/>
  <c r="AG253" i="1" l="1"/>
  <c r="AJ253" i="1" s="1"/>
  <c r="AK253" i="1" s="1"/>
  <c r="AW252" i="1"/>
  <c r="H95" i="1"/>
  <c r="M95" i="1" s="1"/>
  <c r="Q95" i="1" s="1"/>
  <c r="AF252" i="1"/>
  <c r="O287" i="1"/>
  <c r="C251" i="1"/>
  <c r="G252" i="1"/>
  <c r="D252" i="1"/>
  <c r="F248" i="1"/>
  <c r="E249" i="1"/>
  <c r="L249" i="1" s="1"/>
  <c r="T250" i="1"/>
  <c r="AG254" i="1" l="1"/>
  <c r="AJ254" i="1" s="1"/>
  <c r="AK254" i="1" s="1"/>
  <c r="AW253" i="1"/>
  <c r="P95" i="1"/>
  <c r="R95" i="1" s="1"/>
  <c r="S95" i="1" s="1"/>
  <c r="AF253" i="1"/>
  <c r="O288" i="1"/>
  <c r="T251" i="1"/>
  <c r="F249" i="1"/>
  <c r="E250" i="1"/>
  <c r="L250" i="1" s="1"/>
  <c r="G253" i="1"/>
  <c r="C252" i="1"/>
  <c r="D253" i="1"/>
  <c r="AG255" i="1" l="1"/>
  <c r="AJ255" i="1" s="1"/>
  <c r="AK255" i="1" s="1"/>
  <c r="AW254" i="1"/>
  <c r="AF254" i="1"/>
  <c r="O289" i="1"/>
  <c r="D254" i="1"/>
  <c r="C253" i="1"/>
  <c r="G254" i="1"/>
  <c r="F250" i="1"/>
  <c r="E251" i="1"/>
  <c r="L251" i="1" s="1"/>
  <c r="H96" i="1"/>
  <c r="M96" i="1" s="1"/>
  <c r="Q96" i="1" s="1"/>
  <c r="U95" i="1"/>
  <c r="T252" i="1"/>
  <c r="AG256" i="1" l="1"/>
  <c r="AJ256" i="1" s="1"/>
  <c r="AK256" i="1" s="1"/>
  <c r="AW255" i="1"/>
  <c r="AF255" i="1"/>
  <c r="O290" i="1"/>
  <c r="T253" i="1"/>
  <c r="P96" i="1"/>
  <c r="F251" i="1"/>
  <c r="E252" i="1"/>
  <c r="L252" i="1" s="1"/>
  <c r="C254" i="1"/>
  <c r="G255" i="1"/>
  <c r="D255" i="1"/>
  <c r="AG257" i="1" l="1"/>
  <c r="AJ257" i="1" s="1"/>
  <c r="AK257" i="1" s="1"/>
  <c r="AW256" i="1"/>
  <c r="AF256" i="1"/>
  <c r="O291" i="1"/>
  <c r="D256" i="1"/>
  <c r="D257" i="1" s="1"/>
  <c r="G256" i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C304" i="1" s="1"/>
  <c r="C255" i="1"/>
  <c r="R96" i="1"/>
  <c r="S96" i="1" s="1"/>
  <c r="T254" i="1"/>
  <c r="F252" i="1"/>
  <c r="E253" i="1"/>
  <c r="L253" i="1" s="1"/>
  <c r="AG258" i="1" l="1"/>
  <c r="AJ258" i="1" s="1"/>
  <c r="AK258" i="1" s="1"/>
  <c r="AW257" i="1"/>
  <c r="AF257" i="1"/>
  <c r="D258" i="1"/>
  <c r="AU53" i="1"/>
  <c r="AV53" i="1" s="1"/>
  <c r="AM53" i="1"/>
  <c r="AO53" i="1"/>
  <c r="AP53" i="1" s="1"/>
  <c r="AR53" i="1"/>
  <c r="AS53" i="1" s="1"/>
  <c r="O292" i="1"/>
  <c r="U96" i="1"/>
  <c r="H97" i="1"/>
  <c r="M97" i="1" s="1"/>
  <c r="Q97" i="1" s="1"/>
  <c r="F253" i="1"/>
  <c r="E254" i="1"/>
  <c r="L254" i="1" s="1"/>
  <c r="T255" i="1"/>
  <c r="C256" i="1"/>
  <c r="AW258" i="1" l="1"/>
  <c r="AG259" i="1"/>
  <c r="AJ259" i="1" s="1"/>
  <c r="AK259" i="1" s="1"/>
  <c r="AF258" i="1"/>
  <c r="D259" i="1"/>
  <c r="O293" i="1"/>
  <c r="P97" i="1"/>
  <c r="F254" i="1"/>
  <c r="E255" i="1"/>
  <c r="L255" i="1" s="1"/>
  <c r="AF259" i="1" l="1"/>
  <c r="AW259" i="1"/>
  <c r="D260" i="1"/>
  <c r="O294" i="1"/>
  <c r="R97" i="1"/>
  <c r="S97" i="1" s="1"/>
  <c r="H98" i="1" s="1"/>
  <c r="M98" i="1" s="1"/>
  <c r="Q98" i="1" s="1"/>
  <c r="F255" i="1"/>
  <c r="E256" i="1"/>
  <c r="C257" i="1"/>
  <c r="L256" i="1" l="1"/>
  <c r="E257" i="1"/>
  <c r="D261" i="1"/>
  <c r="U97" i="1"/>
  <c r="O295" i="1"/>
  <c r="T257" i="1"/>
  <c r="C258" i="1"/>
  <c r="P98" i="1"/>
  <c r="F256" i="1"/>
  <c r="AQ54" i="1" l="1"/>
  <c r="AR54" i="1" s="1"/>
  <c r="AS54" i="1" s="1"/>
  <c r="AT54" i="1"/>
  <c r="AU54" i="1" s="1"/>
  <c r="AV54" i="1" s="1"/>
  <c r="AN54" i="1"/>
  <c r="AO54" i="1" s="1"/>
  <c r="AP54" i="1" s="1"/>
  <c r="AY54" i="1"/>
  <c r="AZ54" i="1"/>
  <c r="AM54" i="1"/>
  <c r="D262" i="1"/>
  <c r="F257" i="1"/>
  <c r="E258" i="1"/>
  <c r="O296" i="1"/>
  <c r="R98" i="1"/>
  <c r="S98" i="1" s="1"/>
  <c r="U98" i="1" s="1"/>
  <c r="T258" i="1"/>
  <c r="L257" i="1"/>
  <c r="C259" i="1"/>
  <c r="BA54" i="1" l="1"/>
  <c r="BB54" i="1" s="1"/>
  <c r="AX55" i="1" s="1"/>
  <c r="F258" i="1"/>
  <c r="E259" i="1"/>
  <c r="D263" i="1"/>
  <c r="O297" i="1"/>
  <c r="H99" i="1"/>
  <c r="M99" i="1" s="1"/>
  <c r="Q99" i="1" s="1"/>
  <c r="T259" i="1"/>
  <c r="C260" i="1"/>
  <c r="L258" i="1"/>
  <c r="F259" i="1" l="1"/>
  <c r="E260" i="1"/>
  <c r="D264" i="1"/>
  <c r="O298" i="1"/>
  <c r="P99" i="1"/>
  <c r="R99" i="1" s="1"/>
  <c r="S99" i="1" s="1"/>
  <c r="L259" i="1"/>
  <c r="T260" i="1"/>
  <c r="C261" i="1"/>
  <c r="D265" i="1" l="1"/>
  <c r="F260" i="1"/>
  <c r="E261" i="1"/>
  <c r="O299" i="1"/>
  <c r="H100" i="1"/>
  <c r="M100" i="1" s="1"/>
  <c r="Q100" i="1" s="1"/>
  <c r="U99" i="1"/>
  <c r="C262" i="1"/>
  <c r="T261" i="1"/>
  <c r="L260" i="1"/>
  <c r="D266" i="1" l="1"/>
  <c r="F261" i="1"/>
  <c r="E262" i="1"/>
  <c r="P100" i="1"/>
  <c r="R100" i="1" s="1"/>
  <c r="S100" i="1" s="1"/>
  <c r="H101" i="1" s="1"/>
  <c r="M101" i="1" s="1"/>
  <c r="Q101" i="1" s="1"/>
  <c r="O300" i="1"/>
  <c r="L261" i="1"/>
  <c r="T262" i="1"/>
  <c r="C263" i="1"/>
  <c r="F262" i="1" l="1"/>
  <c r="E263" i="1"/>
  <c r="D267" i="1"/>
  <c r="O301" i="1"/>
  <c r="U100" i="1"/>
  <c r="C264" i="1"/>
  <c r="T263" i="1"/>
  <c r="L262" i="1"/>
  <c r="P101" i="1"/>
  <c r="D268" i="1" l="1"/>
  <c r="F263" i="1"/>
  <c r="E264" i="1"/>
  <c r="O303" i="1"/>
  <c r="O302" i="1"/>
  <c r="R101" i="1"/>
  <c r="S101" i="1" s="1"/>
  <c r="U101" i="1" s="1"/>
  <c r="C265" i="1"/>
  <c r="L263" i="1"/>
  <c r="T264" i="1"/>
  <c r="F264" i="1" l="1"/>
  <c r="E265" i="1"/>
  <c r="D269" i="1"/>
  <c r="H102" i="1"/>
  <c r="M102" i="1" s="1"/>
  <c r="T265" i="1"/>
  <c r="L264" i="1"/>
  <c r="C266" i="1"/>
  <c r="D270" i="1" l="1"/>
  <c r="F265" i="1"/>
  <c r="E266" i="1"/>
  <c r="P102" i="1"/>
  <c r="Q102" i="1"/>
  <c r="C267" i="1"/>
  <c r="L265" i="1"/>
  <c r="T266" i="1"/>
  <c r="F266" i="1" l="1"/>
  <c r="E267" i="1"/>
  <c r="D271" i="1"/>
  <c r="R102" i="1"/>
  <c r="S102" i="1" s="1"/>
  <c r="U102" i="1" s="1"/>
  <c r="T267" i="1"/>
  <c r="L266" i="1"/>
  <c r="C268" i="1"/>
  <c r="D272" i="1" l="1"/>
  <c r="F267" i="1"/>
  <c r="E268" i="1"/>
  <c r="H103" i="1"/>
  <c r="M103" i="1" s="1"/>
  <c r="Q103" i="1" s="1"/>
  <c r="L267" i="1"/>
  <c r="C269" i="1"/>
  <c r="T268" i="1"/>
  <c r="F268" i="1" l="1"/>
  <c r="E269" i="1"/>
  <c r="D273" i="1"/>
  <c r="P103" i="1"/>
  <c r="R103" i="1" s="1"/>
  <c r="S103" i="1" s="1"/>
  <c r="H104" i="1" s="1"/>
  <c r="M104" i="1" s="1"/>
  <c r="Q104" i="1" s="1"/>
  <c r="L268" i="1"/>
  <c r="T269" i="1"/>
  <c r="C270" i="1"/>
  <c r="F269" i="1" l="1"/>
  <c r="E270" i="1"/>
  <c r="D274" i="1"/>
  <c r="U103" i="1"/>
  <c r="P104" i="1"/>
  <c r="R104" i="1" s="1"/>
  <c r="S104" i="1" s="1"/>
  <c r="U104" i="1" s="1"/>
  <c r="T270" i="1"/>
  <c r="C271" i="1"/>
  <c r="L269" i="1"/>
  <c r="D275" i="1" l="1"/>
  <c r="F270" i="1"/>
  <c r="E271" i="1"/>
  <c r="H105" i="1"/>
  <c r="M105" i="1" s="1"/>
  <c r="L270" i="1"/>
  <c r="T271" i="1"/>
  <c r="C272" i="1"/>
  <c r="F271" i="1" l="1"/>
  <c r="E272" i="1"/>
  <c r="D276" i="1"/>
  <c r="P105" i="1"/>
  <c r="Q105" i="1"/>
  <c r="C273" i="1"/>
  <c r="T272" i="1"/>
  <c r="L271" i="1"/>
  <c r="R105" i="1" l="1"/>
  <c r="S105" i="1" s="1"/>
  <c r="H106" i="1" s="1"/>
  <c r="M106" i="1" s="1"/>
  <c r="Q106" i="1" s="1"/>
  <c r="D277" i="1"/>
  <c r="F272" i="1"/>
  <c r="E273" i="1"/>
  <c r="T273" i="1"/>
  <c r="L272" i="1"/>
  <c r="C274" i="1"/>
  <c r="U105" i="1" l="1"/>
  <c r="F273" i="1"/>
  <c r="E274" i="1"/>
  <c r="D278" i="1"/>
  <c r="P106" i="1"/>
  <c r="L273" i="1"/>
  <c r="T274" i="1"/>
  <c r="C275" i="1"/>
  <c r="D279" i="1" l="1"/>
  <c r="F274" i="1"/>
  <c r="E275" i="1"/>
  <c r="T275" i="1"/>
  <c r="C276" i="1"/>
  <c r="L274" i="1"/>
  <c r="R106" i="1"/>
  <c r="S106" i="1" s="1"/>
  <c r="F275" i="1" l="1"/>
  <c r="E276" i="1"/>
  <c r="D280" i="1"/>
  <c r="L275" i="1"/>
  <c r="C277" i="1"/>
  <c r="H107" i="1"/>
  <c r="M107" i="1" s="1"/>
  <c r="Q107" i="1" s="1"/>
  <c r="U106" i="1"/>
  <c r="T276" i="1"/>
  <c r="D281" i="1" l="1"/>
  <c r="F276" i="1"/>
  <c r="E277" i="1"/>
  <c r="L276" i="1"/>
  <c r="P107" i="1"/>
  <c r="C278" i="1"/>
  <c r="T277" i="1"/>
  <c r="D282" i="1" l="1"/>
  <c r="F277" i="1"/>
  <c r="E278" i="1"/>
  <c r="R107" i="1"/>
  <c r="S107" i="1" s="1"/>
  <c r="U107" i="1" s="1"/>
  <c r="T278" i="1"/>
  <c r="C279" i="1"/>
  <c r="L277" i="1"/>
  <c r="F278" i="1" l="1"/>
  <c r="E279" i="1"/>
  <c r="D283" i="1"/>
  <c r="H108" i="1"/>
  <c r="M108" i="1" s="1"/>
  <c r="T279" i="1"/>
  <c r="L278" i="1"/>
  <c r="C280" i="1"/>
  <c r="D284" i="1" l="1"/>
  <c r="F279" i="1"/>
  <c r="E280" i="1"/>
  <c r="P108" i="1"/>
  <c r="Q108" i="1"/>
  <c r="L279" i="1"/>
  <c r="T280" i="1"/>
  <c r="C281" i="1"/>
  <c r="F280" i="1" l="1"/>
  <c r="E281" i="1"/>
  <c r="D285" i="1"/>
  <c r="R108" i="1"/>
  <c r="S108" i="1" s="1"/>
  <c r="U108" i="1" s="1"/>
  <c r="C282" i="1"/>
  <c r="T281" i="1"/>
  <c r="L280" i="1"/>
  <c r="H109" i="1" l="1"/>
  <c r="M109" i="1" s="1"/>
  <c r="Q109" i="1" s="1"/>
  <c r="F281" i="1"/>
  <c r="E282" i="1"/>
  <c r="D286" i="1"/>
  <c r="L281" i="1"/>
  <c r="T282" i="1"/>
  <c r="C283" i="1"/>
  <c r="P109" i="1" l="1"/>
  <c r="R109" i="1" s="1"/>
  <c r="S109" i="1" s="1"/>
  <c r="H110" i="1" s="1"/>
  <c r="M110" i="1" s="1"/>
  <c r="Q110" i="1" s="1"/>
  <c r="D287" i="1"/>
  <c r="F282" i="1"/>
  <c r="E283" i="1"/>
  <c r="T283" i="1"/>
  <c r="C284" i="1"/>
  <c r="L282" i="1"/>
  <c r="U109" i="1" l="1"/>
  <c r="F283" i="1"/>
  <c r="E284" i="1"/>
  <c r="D288" i="1"/>
  <c r="L283" i="1"/>
  <c r="C285" i="1"/>
  <c r="P110" i="1"/>
  <c r="T284" i="1"/>
  <c r="D289" i="1" l="1"/>
  <c r="F284" i="1"/>
  <c r="E285" i="1"/>
  <c r="T285" i="1"/>
  <c r="R110" i="1"/>
  <c r="S110" i="1" s="1"/>
  <c r="L284" i="1"/>
  <c r="C286" i="1"/>
  <c r="F285" i="1" l="1"/>
  <c r="E286" i="1"/>
  <c r="D290" i="1"/>
  <c r="U110" i="1"/>
  <c r="H111" i="1"/>
  <c r="M111" i="1" s="1"/>
  <c r="Q111" i="1" s="1"/>
  <c r="T286" i="1"/>
  <c r="L285" i="1"/>
  <c r="C287" i="1"/>
  <c r="D291" i="1" l="1"/>
  <c r="F286" i="1"/>
  <c r="E287" i="1"/>
  <c r="T287" i="1"/>
  <c r="C288" i="1"/>
  <c r="P111" i="1"/>
  <c r="L286" i="1"/>
  <c r="F287" i="1" l="1"/>
  <c r="E288" i="1"/>
  <c r="D292" i="1"/>
  <c r="R111" i="1"/>
  <c r="S111" i="1" s="1"/>
  <c r="H112" i="1" s="1"/>
  <c r="M112" i="1" s="1"/>
  <c r="Q112" i="1" s="1"/>
  <c r="L287" i="1"/>
  <c r="T288" i="1"/>
  <c r="C289" i="1"/>
  <c r="D293" i="1" l="1"/>
  <c r="F288" i="1"/>
  <c r="E289" i="1"/>
  <c r="U111" i="1"/>
  <c r="T289" i="1"/>
  <c r="C290" i="1"/>
  <c r="L288" i="1"/>
  <c r="P112" i="1"/>
  <c r="F289" i="1" l="1"/>
  <c r="E290" i="1"/>
  <c r="D294" i="1"/>
  <c r="R112" i="1"/>
  <c r="S112" i="1" s="1"/>
  <c r="H113" i="1" s="1"/>
  <c r="M113" i="1" s="1"/>
  <c r="Q113" i="1" s="1"/>
  <c r="C291" i="1"/>
  <c r="L289" i="1"/>
  <c r="T290" i="1"/>
  <c r="F290" i="1" l="1"/>
  <c r="E291" i="1"/>
  <c r="D295" i="1"/>
  <c r="U112" i="1"/>
  <c r="T291" i="1"/>
  <c r="C292" i="1"/>
  <c r="L290" i="1"/>
  <c r="P113" i="1"/>
  <c r="D296" i="1" l="1"/>
  <c r="F291" i="1"/>
  <c r="E292" i="1"/>
  <c r="R113" i="1"/>
  <c r="S113" i="1" s="1"/>
  <c r="U113" i="1" s="1"/>
  <c r="C293" i="1"/>
  <c r="T292" i="1"/>
  <c r="L291" i="1"/>
  <c r="F292" i="1" l="1"/>
  <c r="E293" i="1"/>
  <c r="D297" i="1"/>
  <c r="H114" i="1"/>
  <c r="M114" i="1" s="1"/>
  <c r="T293" i="1"/>
  <c r="C294" i="1"/>
  <c r="L292" i="1"/>
  <c r="D298" i="1" l="1"/>
  <c r="F293" i="1"/>
  <c r="E294" i="1"/>
  <c r="P114" i="1"/>
  <c r="Q114" i="1"/>
  <c r="L293" i="1"/>
  <c r="C295" i="1"/>
  <c r="T294" i="1"/>
  <c r="F294" i="1" l="1"/>
  <c r="E295" i="1"/>
  <c r="D299" i="1"/>
  <c r="R114" i="1"/>
  <c r="S114" i="1" s="1"/>
  <c r="U114" i="1" s="1"/>
  <c r="T295" i="1"/>
  <c r="L294" i="1"/>
  <c r="C296" i="1"/>
  <c r="H115" i="1" l="1"/>
  <c r="M115" i="1" s="1"/>
  <c r="Q115" i="1" s="1"/>
  <c r="D300" i="1"/>
  <c r="F295" i="1"/>
  <c r="E296" i="1"/>
  <c r="L295" i="1"/>
  <c r="C297" i="1"/>
  <c r="T296" i="1"/>
  <c r="P115" i="1" l="1"/>
  <c r="R115" i="1" s="1"/>
  <c r="S115" i="1" s="1"/>
  <c r="F296" i="1"/>
  <c r="E297" i="1"/>
  <c r="D301" i="1"/>
  <c r="T297" i="1"/>
  <c r="C298" i="1"/>
  <c r="L296" i="1"/>
  <c r="U115" i="1" l="1"/>
  <c r="H116" i="1"/>
  <c r="M116" i="1" s="1"/>
  <c r="Q116" i="1" s="1"/>
  <c r="F297" i="1"/>
  <c r="E298" i="1"/>
  <c r="D302" i="1"/>
  <c r="P116" i="1"/>
  <c r="R116" i="1" s="1"/>
  <c r="S116" i="1" s="1"/>
  <c r="U116" i="1" s="1"/>
  <c r="L297" i="1"/>
  <c r="C299" i="1"/>
  <c r="T298" i="1"/>
  <c r="D303" i="1" l="1"/>
  <c r="F298" i="1"/>
  <c r="E299" i="1"/>
  <c r="H117" i="1"/>
  <c r="M117" i="1" s="1"/>
  <c r="L298" i="1"/>
  <c r="T299" i="1"/>
  <c r="C300" i="1"/>
  <c r="F299" i="1" l="1"/>
  <c r="E300" i="1"/>
  <c r="D304" i="1"/>
  <c r="P117" i="1"/>
  <c r="Q117" i="1"/>
  <c r="L299" i="1"/>
  <c r="C301" i="1"/>
  <c r="T300" i="1"/>
  <c r="F300" i="1" l="1"/>
  <c r="E301" i="1"/>
  <c r="R117" i="1"/>
  <c r="S117" i="1" s="1"/>
  <c r="H118" i="1" s="1"/>
  <c r="M118" i="1" s="1"/>
  <c r="Q118" i="1" s="1"/>
  <c r="L300" i="1"/>
  <c r="T301" i="1"/>
  <c r="C303" i="1"/>
  <c r="C302" i="1"/>
  <c r="F301" i="1" l="1"/>
  <c r="E302" i="1"/>
  <c r="P118" i="1"/>
  <c r="R118" i="1" s="1"/>
  <c r="S118" i="1" s="1"/>
  <c r="H119" i="1" s="1"/>
  <c r="M119" i="1" s="1"/>
  <c r="Q119" i="1" s="1"/>
  <c r="U117" i="1"/>
  <c r="L301" i="1"/>
  <c r="T302" i="1"/>
  <c r="F302" i="1" l="1"/>
  <c r="E303" i="1"/>
  <c r="U118" i="1"/>
  <c r="T303" i="1"/>
  <c r="L302" i="1"/>
  <c r="P119" i="1"/>
  <c r="F303" i="1" l="1"/>
  <c r="E304" i="1"/>
  <c r="R119" i="1"/>
  <c r="S119" i="1" s="1"/>
  <c r="U119" i="1" s="1"/>
  <c r="L303" i="1"/>
  <c r="L304" i="1" l="1"/>
  <c r="F304" i="1"/>
  <c r="H120" i="1"/>
  <c r="M120" i="1" s="1"/>
  <c r="P120" i="1" l="1"/>
  <c r="Q120" i="1"/>
  <c r="R120" i="1" l="1"/>
  <c r="S120" i="1" s="1"/>
  <c r="U120" i="1" s="1"/>
  <c r="H121" i="1" l="1"/>
  <c r="M121" i="1" s="1"/>
  <c r="Q121" i="1" s="1"/>
  <c r="P121" i="1" l="1"/>
  <c r="R121" i="1" s="1"/>
  <c r="S121" i="1" s="1"/>
  <c r="U121" i="1" s="1"/>
  <c r="H122" i="1" l="1"/>
  <c r="M122" i="1" s="1"/>
  <c r="P122" i="1" s="1"/>
  <c r="Q122" i="1" l="1"/>
  <c r="R122" i="1" s="1"/>
  <c r="S122" i="1" s="1"/>
  <c r="U122" i="1" s="1"/>
  <c r="H123" i="1" l="1"/>
  <c r="M123" i="1" s="1"/>
  <c r="P123" i="1" s="1"/>
  <c r="Q123" i="1" l="1"/>
  <c r="R123" i="1" s="1"/>
  <c r="S123" i="1" s="1"/>
  <c r="H124" i="1" s="1"/>
  <c r="M124" i="1" s="1"/>
  <c r="Q124" i="1" s="1"/>
  <c r="P124" i="1" l="1"/>
  <c r="R124" i="1" s="1"/>
  <c r="S124" i="1" s="1"/>
  <c r="H125" i="1" s="1"/>
  <c r="M125" i="1" s="1"/>
  <c r="Q125" i="1" s="1"/>
  <c r="U123" i="1"/>
  <c r="U124" i="1" l="1"/>
  <c r="P125" i="1"/>
  <c r="R125" i="1" l="1"/>
  <c r="S125" i="1" s="1"/>
  <c r="U125" i="1" s="1"/>
  <c r="H126" i="1" l="1"/>
  <c r="M126" i="1" s="1"/>
  <c r="P126" i="1" l="1"/>
  <c r="Q126" i="1"/>
  <c r="R126" i="1" l="1"/>
  <c r="S126" i="1" s="1"/>
  <c r="U126" i="1" s="1"/>
  <c r="H127" i="1"/>
  <c r="M127" i="1" s="1"/>
  <c r="P127" i="1" l="1"/>
  <c r="Q127" i="1"/>
  <c r="R127" i="1" l="1"/>
  <c r="S127" i="1" s="1"/>
  <c r="U127" i="1" s="1"/>
  <c r="H128" i="1" l="1"/>
  <c r="M128" i="1" s="1"/>
  <c r="P128" i="1" s="1"/>
  <c r="Q128" i="1" l="1"/>
  <c r="R128" i="1" s="1"/>
  <c r="S128" i="1" s="1"/>
  <c r="U128" i="1" s="1"/>
  <c r="H129" i="1" l="1"/>
  <c r="M129" i="1" s="1"/>
  <c r="P129" i="1" s="1"/>
  <c r="Q129" i="1" l="1"/>
  <c r="R129" i="1" s="1"/>
  <c r="S129" i="1" s="1"/>
  <c r="U129" i="1" s="1"/>
  <c r="H130" i="1" l="1"/>
  <c r="M130" i="1" s="1"/>
  <c r="Q130" i="1" s="1"/>
  <c r="P130" i="1" l="1"/>
  <c r="R130" i="1" s="1"/>
  <c r="S130" i="1" s="1"/>
  <c r="U130" i="1" s="1"/>
  <c r="H131" i="1" l="1"/>
  <c r="M131" i="1" s="1"/>
  <c r="P131" i="1" s="1"/>
  <c r="Q131" i="1" l="1"/>
  <c r="R131" i="1" s="1"/>
  <c r="S131" i="1" s="1"/>
  <c r="H132" i="1" l="1"/>
  <c r="M132" i="1" s="1"/>
  <c r="U131" i="1"/>
  <c r="Q132" i="1" l="1"/>
  <c r="P132" i="1"/>
  <c r="R132" i="1" l="1"/>
  <c r="S132" i="1" s="1"/>
  <c r="U132" i="1" s="1"/>
  <c r="H133" i="1" l="1"/>
  <c r="M133" i="1" s="1"/>
  <c r="P133" i="1" s="1"/>
  <c r="Q133" i="1" l="1"/>
  <c r="R133" i="1" s="1"/>
  <c r="S133" i="1" s="1"/>
  <c r="H134" i="1" s="1"/>
  <c r="M134" i="1" s="1"/>
  <c r="Q134" i="1" s="1"/>
  <c r="U133" i="1" l="1"/>
  <c r="P134" i="1"/>
  <c r="R134" i="1" s="1"/>
  <c r="S134" i="1" s="1"/>
  <c r="U134" i="1" l="1"/>
  <c r="H135" i="1"/>
  <c r="M135" i="1" s="1"/>
  <c r="Q135" i="1" l="1"/>
  <c r="P135" i="1"/>
  <c r="R135" i="1" l="1"/>
  <c r="S135" i="1" s="1"/>
  <c r="U135" i="1" s="1"/>
  <c r="H136" i="1" l="1"/>
  <c r="M136" i="1" s="1"/>
  <c r="Q136" i="1" s="1"/>
  <c r="P136" i="1" l="1"/>
  <c r="R136" i="1" s="1"/>
  <c r="S136" i="1" s="1"/>
  <c r="U136" i="1" s="1"/>
  <c r="H137" i="1" l="1"/>
  <c r="M137" i="1" s="1"/>
  <c r="Q137" i="1" s="1"/>
  <c r="P137" i="1" l="1"/>
  <c r="R137" i="1" s="1"/>
  <c r="S137" i="1" s="1"/>
  <c r="U137" i="1" s="1"/>
  <c r="H138" i="1" l="1"/>
  <c r="M138" i="1" s="1"/>
  <c r="P138" i="1" s="1"/>
  <c r="Q138" i="1" l="1"/>
  <c r="R138" i="1" s="1"/>
  <c r="S138" i="1" s="1"/>
  <c r="U138" i="1" s="1"/>
  <c r="H139" i="1" l="1"/>
  <c r="M139" i="1" s="1"/>
  <c r="P139" i="1" s="1"/>
  <c r="Q139" i="1" l="1"/>
  <c r="R139" i="1" s="1"/>
  <c r="S139" i="1" s="1"/>
  <c r="U139" i="1" s="1"/>
  <c r="H140" i="1" l="1"/>
  <c r="M140" i="1" s="1"/>
  <c r="Q140" i="1" s="1"/>
  <c r="P140" i="1" l="1"/>
  <c r="R140" i="1" s="1"/>
  <c r="S140" i="1" s="1"/>
  <c r="H141" i="1" s="1"/>
  <c r="M141" i="1" s="1"/>
  <c r="U140" i="1" l="1"/>
  <c r="P141" i="1"/>
  <c r="Q141" i="1"/>
  <c r="R141" i="1" l="1"/>
  <c r="S141" i="1" s="1"/>
  <c r="U141" i="1" s="1"/>
  <c r="H142" i="1" l="1"/>
  <c r="M142" i="1" s="1"/>
  <c r="P142" i="1" s="1"/>
  <c r="Q142" i="1" l="1"/>
  <c r="R142" i="1" s="1"/>
  <c r="S142" i="1" s="1"/>
  <c r="U142" i="1" s="1"/>
  <c r="H143" i="1" l="1"/>
  <c r="M143" i="1" s="1"/>
  <c r="P143" i="1" s="1"/>
  <c r="Q143" i="1" l="1"/>
  <c r="R143" i="1" s="1"/>
  <c r="S143" i="1" s="1"/>
  <c r="H144" i="1" s="1"/>
  <c r="M144" i="1" s="1"/>
  <c r="Q144" i="1" s="1"/>
  <c r="P144" i="1" l="1"/>
  <c r="R144" i="1" s="1"/>
  <c r="S144" i="1" s="1"/>
  <c r="H145" i="1" s="1"/>
  <c r="M145" i="1" s="1"/>
  <c r="Q145" i="1" s="1"/>
  <c r="U143" i="1"/>
  <c r="U144" i="1" l="1"/>
  <c r="P145" i="1"/>
  <c r="R145" i="1" l="1"/>
  <c r="S145" i="1" s="1"/>
  <c r="U145" i="1" s="1"/>
  <c r="H146" i="1" l="1"/>
  <c r="M146" i="1" s="1"/>
  <c r="Q146" i="1" s="1"/>
  <c r="P146" i="1" l="1"/>
  <c r="R146" i="1" s="1"/>
  <c r="S146" i="1" s="1"/>
  <c r="U146" i="1" l="1"/>
  <c r="H147" i="1"/>
  <c r="M147" i="1" s="1"/>
  <c r="P147" i="1" l="1"/>
  <c r="Q147" i="1"/>
  <c r="R147" i="1" l="1"/>
  <c r="S147" i="1" s="1"/>
  <c r="U147" i="1" s="1"/>
  <c r="H148" i="1" l="1"/>
  <c r="M148" i="1" s="1"/>
  <c r="Q148" i="1" s="1"/>
  <c r="P148" i="1" l="1"/>
  <c r="R148" i="1" s="1"/>
  <c r="S148" i="1" s="1"/>
  <c r="H149" i="1" s="1"/>
  <c r="M149" i="1" s="1"/>
  <c r="Q149" i="1" s="1"/>
  <c r="U148" i="1" l="1"/>
  <c r="P149" i="1"/>
  <c r="R149" i="1" s="1"/>
  <c r="S149" i="1" s="1"/>
  <c r="U149" i="1" s="1"/>
  <c r="H150" i="1" l="1"/>
  <c r="M150" i="1" s="1"/>
  <c r="P150" i="1" l="1"/>
  <c r="Q150" i="1"/>
  <c r="R150" i="1" l="1"/>
  <c r="S150" i="1" s="1"/>
  <c r="U150" i="1" s="1"/>
  <c r="H151" i="1" l="1"/>
  <c r="M151" i="1" s="1"/>
  <c r="P151" i="1" s="1"/>
  <c r="Q151" i="1" l="1"/>
  <c r="R151" i="1" s="1"/>
  <c r="S151" i="1" s="1"/>
  <c r="H152" i="1" s="1"/>
  <c r="M152" i="1" s="1"/>
  <c r="Q152" i="1" s="1"/>
  <c r="P152" i="1" l="1"/>
  <c r="R152" i="1" s="1"/>
  <c r="S152" i="1" s="1"/>
  <c r="U152" i="1" s="1"/>
  <c r="U151" i="1"/>
  <c r="H153" i="1" l="1"/>
  <c r="M153" i="1" s="1"/>
  <c r="Q153" i="1" s="1"/>
  <c r="P153" i="1" l="1"/>
  <c r="R153" i="1" s="1"/>
  <c r="S153" i="1" s="1"/>
  <c r="U153" i="1" s="1"/>
  <c r="H154" i="1" l="1"/>
  <c r="M154" i="1" s="1"/>
  <c r="P154" i="1" l="1"/>
  <c r="Q154" i="1"/>
  <c r="R154" i="1" l="1"/>
  <c r="S154" i="1" s="1"/>
  <c r="U154" i="1" s="1"/>
  <c r="H155" i="1" l="1"/>
  <c r="M155" i="1" s="1"/>
  <c r="P155" i="1" s="1"/>
  <c r="Q155" i="1" l="1"/>
  <c r="R155" i="1" s="1"/>
  <c r="S155" i="1" s="1"/>
  <c r="U155" i="1" s="1"/>
  <c r="H156" i="1"/>
  <c r="M156" i="1" s="1"/>
  <c r="P156" i="1" l="1"/>
  <c r="Q156" i="1"/>
  <c r="R156" i="1" l="1"/>
  <c r="S156" i="1" s="1"/>
  <c r="H157" i="1" s="1"/>
  <c r="M157" i="1" s="1"/>
  <c r="Q157" i="1" s="1"/>
  <c r="U156" i="1" l="1"/>
  <c r="P157" i="1"/>
  <c r="R157" i="1" s="1"/>
  <c r="S157" i="1" s="1"/>
  <c r="H158" i="1" s="1"/>
  <c r="M158" i="1" s="1"/>
  <c r="Q158" i="1" s="1"/>
  <c r="U157" i="1" l="1"/>
  <c r="P158" i="1"/>
  <c r="R158" i="1" l="1"/>
  <c r="S158" i="1" s="1"/>
  <c r="U158" i="1" l="1"/>
  <c r="H159" i="1"/>
  <c r="M159" i="1" s="1"/>
  <c r="Q159" i="1" s="1"/>
  <c r="P159" i="1" l="1"/>
  <c r="R159" i="1" s="1"/>
  <c r="S159" i="1" s="1"/>
  <c r="H160" i="1" l="1"/>
  <c r="M160" i="1" s="1"/>
  <c r="Q160" i="1" s="1"/>
  <c r="U159" i="1"/>
  <c r="P160" i="1" l="1"/>
  <c r="R160" i="1" l="1"/>
  <c r="S160" i="1" s="1"/>
  <c r="U160" i="1" s="1"/>
  <c r="H161" i="1" l="1"/>
  <c r="M161" i="1" s="1"/>
  <c r="P161" i="1" l="1"/>
  <c r="Q161" i="1"/>
  <c r="R161" i="1" l="1"/>
  <c r="S161" i="1" s="1"/>
  <c r="U161" i="1" s="1"/>
  <c r="H162" i="1" l="1"/>
  <c r="M162" i="1" s="1"/>
  <c r="Q162" i="1" s="1"/>
  <c r="P162" i="1" l="1"/>
  <c r="R162" i="1" s="1"/>
  <c r="S162" i="1" s="1"/>
  <c r="H163" i="1" s="1"/>
  <c r="M163" i="1" s="1"/>
  <c r="U162" i="1" l="1"/>
  <c r="P163" i="1"/>
  <c r="Q163" i="1"/>
  <c r="R163" i="1" l="1"/>
  <c r="S163" i="1" s="1"/>
  <c r="H164" i="1" s="1"/>
  <c r="M164" i="1" s="1"/>
  <c r="Q164" i="1" s="1"/>
  <c r="U163" i="1" l="1"/>
  <c r="P164" i="1"/>
  <c r="R164" i="1" s="1"/>
  <c r="S164" i="1" s="1"/>
  <c r="U164" i="1" l="1"/>
  <c r="H165" i="1"/>
  <c r="M165" i="1" s="1"/>
  <c r="Q165" i="1" s="1"/>
  <c r="P165" i="1" l="1"/>
  <c r="R165" i="1" l="1"/>
  <c r="S165" i="1" s="1"/>
  <c r="U165" i="1" s="1"/>
  <c r="H166" i="1" l="1"/>
  <c r="M166" i="1" s="1"/>
  <c r="P166" i="1" l="1"/>
  <c r="Q166" i="1"/>
  <c r="R166" i="1" s="1"/>
  <c r="S166" i="1" s="1"/>
  <c r="U166" i="1" s="1"/>
  <c r="H167" i="1" l="1"/>
  <c r="M167" i="1" s="1"/>
  <c r="P167" i="1" l="1"/>
  <c r="Q167" i="1"/>
  <c r="R167" i="1" l="1"/>
  <c r="S167" i="1" s="1"/>
  <c r="U167" i="1" s="1"/>
  <c r="H168" i="1" l="1"/>
  <c r="M168" i="1" s="1"/>
  <c r="Q168" i="1" s="1"/>
  <c r="P168" i="1" l="1"/>
  <c r="R168" i="1" s="1"/>
  <c r="S168" i="1" s="1"/>
  <c r="H169" i="1" s="1"/>
  <c r="M169" i="1" s="1"/>
  <c r="U168" i="1" l="1"/>
  <c r="P169" i="1"/>
  <c r="Q169" i="1"/>
  <c r="R169" i="1" l="1"/>
  <c r="S169" i="1" s="1"/>
  <c r="U169" i="1" s="1"/>
  <c r="H170" i="1" l="1"/>
  <c r="M170" i="1" s="1"/>
  <c r="P170" i="1" s="1"/>
  <c r="Q170" i="1" l="1"/>
  <c r="R170" i="1" s="1"/>
  <c r="S170" i="1" s="1"/>
  <c r="U170" i="1" s="1"/>
  <c r="H171" i="1" l="1"/>
  <c r="M171" i="1" s="1"/>
  <c r="Q171" i="1" s="1"/>
  <c r="P171" i="1" l="1"/>
  <c r="R171" i="1" s="1"/>
  <c r="S171" i="1" s="1"/>
  <c r="U171" i="1" l="1"/>
  <c r="H172" i="1"/>
  <c r="M172" i="1" s="1"/>
  <c r="P172" i="1" s="1"/>
  <c r="Q172" i="1" l="1"/>
  <c r="R172" i="1" s="1"/>
  <c r="S172" i="1" s="1"/>
  <c r="U172" i="1" s="1"/>
  <c r="H173" i="1" l="1"/>
  <c r="M173" i="1" s="1"/>
  <c r="P173" i="1" s="1"/>
  <c r="Q173" i="1" l="1"/>
  <c r="R173" i="1" s="1"/>
  <c r="S173" i="1" s="1"/>
  <c r="H174" i="1" s="1"/>
  <c r="M174" i="1" s="1"/>
  <c r="Q174" i="1" s="1"/>
  <c r="U173" i="1" l="1"/>
  <c r="P174" i="1"/>
  <c r="R174" i="1" s="1"/>
  <c r="S174" i="1" s="1"/>
  <c r="H175" i="1" s="1"/>
  <c r="M175" i="1" s="1"/>
  <c r="Q175" i="1" s="1"/>
  <c r="U174" i="1" l="1"/>
  <c r="P175" i="1"/>
  <c r="R175" i="1" l="1"/>
  <c r="S175" i="1" s="1"/>
  <c r="H176" i="1" s="1"/>
  <c r="M176" i="1" s="1"/>
  <c r="Q176" i="1" s="1"/>
  <c r="U175" i="1" l="1"/>
  <c r="P176" i="1"/>
  <c r="R176" i="1" l="1"/>
  <c r="S176" i="1" s="1"/>
  <c r="U176" i="1" l="1"/>
  <c r="H177" i="1"/>
  <c r="M177" i="1" s="1"/>
  <c r="Q177" i="1" s="1"/>
  <c r="P177" i="1" l="1"/>
  <c r="R177" i="1" l="1"/>
  <c r="S177" i="1" s="1"/>
  <c r="U177" i="1" l="1"/>
  <c r="H178" i="1"/>
  <c r="M178" i="1" s="1"/>
  <c r="Q178" i="1" s="1"/>
  <c r="P178" i="1" l="1"/>
  <c r="R178" i="1" l="1"/>
  <c r="S178" i="1" s="1"/>
  <c r="U178" i="1" s="1"/>
  <c r="H179" i="1" l="1"/>
  <c r="M179" i="1" s="1"/>
  <c r="P179" i="1" l="1"/>
  <c r="Q179" i="1"/>
  <c r="R179" i="1" l="1"/>
  <c r="S179" i="1" s="1"/>
  <c r="H180" i="1" s="1"/>
  <c r="M180" i="1" s="1"/>
  <c r="Q180" i="1" s="1"/>
  <c r="P180" i="1" l="1"/>
  <c r="R180" i="1" s="1"/>
  <c r="S180" i="1" s="1"/>
  <c r="U179" i="1"/>
  <c r="H181" i="1" l="1"/>
  <c r="M181" i="1" s="1"/>
  <c r="Q181" i="1" s="1"/>
  <c r="U180" i="1"/>
  <c r="P181" i="1" l="1"/>
  <c r="R181" i="1" l="1"/>
  <c r="S181" i="1" s="1"/>
  <c r="H182" i="1" l="1"/>
  <c r="M182" i="1" s="1"/>
  <c r="Q182" i="1" s="1"/>
  <c r="U181" i="1"/>
  <c r="P182" i="1" l="1"/>
  <c r="R182" i="1" l="1"/>
  <c r="S182" i="1" s="1"/>
  <c r="H183" i="1" l="1"/>
  <c r="M183" i="1" s="1"/>
  <c r="Q183" i="1" s="1"/>
  <c r="U182" i="1"/>
  <c r="P183" i="1" l="1"/>
  <c r="R183" i="1" l="1"/>
  <c r="S183" i="1" s="1"/>
  <c r="U183" i="1" l="1"/>
  <c r="H184" i="1"/>
  <c r="M184" i="1" s="1"/>
  <c r="Q184" i="1" s="1"/>
  <c r="P184" i="1" l="1"/>
  <c r="R184" i="1" l="1"/>
  <c r="S184" i="1" s="1"/>
  <c r="U184" i="1" l="1"/>
  <c r="H185" i="1"/>
  <c r="M185" i="1" s="1"/>
  <c r="Q185" i="1" s="1"/>
  <c r="P185" i="1" l="1"/>
  <c r="R185" i="1" l="1"/>
  <c r="S185" i="1" s="1"/>
  <c r="H186" i="1" s="1"/>
  <c r="M186" i="1" s="1"/>
  <c r="Q186" i="1" s="1"/>
  <c r="U185" i="1" l="1"/>
  <c r="P186" i="1"/>
  <c r="R186" i="1" s="1"/>
  <c r="S186" i="1" s="1"/>
  <c r="U186" i="1" l="1"/>
  <c r="H187" i="1"/>
  <c r="M187" i="1" s="1"/>
  <c r="Q187" i="1" s="1"/>
  <c r="P187" i="1" l="1"/>
  <c r="R187" i="1" s="1"/>
  <c r="S187" i="1" s="1"/>
  <c r="U187" i="1" l="1"/>
  <c r="H188" i="1"/>
  <c r="M188" i="1" s="1"/>
  <c r="Q188" i="1" s="1"/>
  <c r="P188" i="1" l="1"/>
  <c r="R188" i="1" s="1"/>
  <c r="S188" i="1" s="1"/>
  <c r="U188" i="1" l="1"/>
  <c r="H189" i="1"/>
  <c r="M189" i="1" s="1"/>
  <c r="Q189" i="1" s="1"/>
  <c r="P189" i="1" l="1"/>
  <c r="R189" i="1" s="1"/>
  <c r="S189" i="1" s="1"/>
  <c r="U189" i="1" l="1"/>
  <c r="H190" i="1"/>
  <c r="M190" i="1" s="1"/>
  <c r="Q190" i="1" s="1"/>
  <c r="P190" i="1" l="1"/>
  <c r="R190" i="1" s="1"/>
  <c r="S190" i="1" s="1"/>
  <c r="U190" i="1" l="1"/>
  <c r="H191" i="1"/>
  <c r="M191" i="1" s="1"/>
  <c r="Q191" i="1" s="1"/>
  <c r="P191" i="1" l="1"/>
  <c r="R191" i="1" l="1"/>
  <c r="S191" i="1" s="1"/>
  <c r="U191" i="1" s="1"/>
  <c r="H192" i="1" l="1"/>
  <c r="M192" i="1" s="1"/>
  <c r="Q192" i="1" s="1"/>
  <c r="P192" i="1" l="1"/>
  <c r="R192" i="1" s="1"/>
  <c r="S192" i="1" s="1"/>
  <c r="U192" i="1" s="1"/>
  <c r="H193" i="1" l="1"/>
  <c r="M193" i="1" s="1"/>
  <c r="P193" i="1" l="1"/>
  <c r="Q193" i="1"/>
  <c r="R193" i="1" s="1"/>
  <c r="S193" i="1" s="1"/>
  <c r="H194" i="1" s="1"/>
  <c r="M194" i="1" s="1"/>
  <c r="Q194" i="1" s="1"/>
  <c r="AB17" i="1" l="1"/>
  <c r="AB18" i="1" s="1"/>
  <c r="U193" i="1"/>
  <c r="P194" i="1"/>
  <c r="R194" i="1" l="1"/>
  <c r="S194" i="1" s="1"/>
  <c r="U194" i="1" s="1"/>
  <c r="H195" i="1" l="1"/>
  <c r="M195" i="1" s="1"/>
  <c r="P195" i="1" l="1"/>
  <c r="Q195" i="1"/>
  <c r="R195" i="1" s="1"/>
  <c r="S195" i="1" s="1"/>
  <c r="U195" i="1" s="1"/>
  <c r="H196" i="1" l="1"/>
  <c r="M196" i="1" s="1"/>
  <c r="P196" i="1" l="1"/>
  <c r="Q196" i="1"/>
  <c r="R196" i="1" l="1"/>
  <c r="S196" i="1" s="1"/>
  <c r="U196" i="1" s="1"/>
  <c r="H197" i="1" l="1"/>
  <c r="M197" i="1" s="1"/>
  <c r="P197" i="1" s="1"/>
  <c r="Q197" i="1" l="1"/>
  <c r="R197" i="1" s="1"/>
  <c r="S197" i="1" s="1"/>
  <c r="U197" i="1" s="1"/>
  <c r="H198" i="1" l="1"/>
  <c r="M198" i="1" s="1"/>
  <c r="P198" i="1" s="1"/>
  <c r="Q198" i="1" l="1"/>
  <c r="R198" i="1" s="1"/>
  <c r="S198" i="1" s="1"/>
  <c r="H199" i="1" s="1"/>
  <c r="M199" i="1" s="1"/>
  <c r="U198" i="1" l="1"/>
  <c r="P199" i="1"/>
  <c r="Q199" i="1"/>
  <c r="R199" i="1" l="1"/>
  <c r="S199" i="1" s="1"/>
  <c r="U199" i="1" s="1"/>
  <c r="H200" i="1" l="1"/>
  <c r="M200" i="1" s="1"/>
  <c r="P200" i="1" s="1"/>
  <c r="Q200" i="1" l="1"/>
  <c r="R200" i="1" s="1"/>
  <c r="S200" i="1" s="1"/>
  <c r="H201" i="1" s="1"/>
  <c r="M201" i="1" s="1"/>
  <c r="Q201" i="1" s="1"/>
  <c r="P201" i="1" l="1"/>
  <c r="R201" i="1" s="1"/>
  <c r="S201" i="1" s="1"/>
  <c r="H202" i="1" s="1"/>
  <c r="M202" i="1" s="1"/>
  <c r="Q202" i="1" s="1"/>
  <c r="U200" i="1"/>
  <c r="U201" i="1" l="1"/>
  <c r="P202" i="1"/>
  <c r="R202" i="1" l="1"/>
  <c r="S202" i="1" s="1"/>
  <c r="H203" i="1" s="1"/>
  <c r="M203" i="1" s="1"/>
  <c r="Q203" i="1" s="1"/>
  <c r="U202" i="1" l="1"/>
  <c r="P203" i="1"/>
  <c r="R203" i="1" s="1"/>
  <c r="S203" i="1" s="1"/>
  <c r="H204" i="1" l="1"/>
  <c r="M204" i="1" s="1"/>
  <c r="Q204" i="1" s="1"/>
  <c r="U203" i="1"/>
  <c r="P204" i="1" l="1"/>
  <c r="R204" i="1" l="1"/>
  <c r="S204" i="1" s="1"/>
  <c r="H205" i="1" s="1"/>
  <c r="M205" i="1" s="1"/>
  <c r="Q205" i="1" s="1"/>
  <c r="U204" i="1" l="1"/>
  <c r="P205" i="1"/>
  <c r="R205" i="1" s="1"/>
  <c r="S205" i="1" s="1"/>
  <c r="H206" i="1" l="1"/>
  <c r="M206" i="1" s="1"/>
  <c r="Q206" i="1" s="1"/>
  <c r="U205" i="1"/>
  <c r="P206" i="1" l="1"/>
  <c r="R206" i="1" s="1"/>
  <c r="S206" i="1" s="1"/>
  <c r="H207" i="1" l="1"/>
  <c r="M207" i="1" s="1"/>
  <c r="Q207" i="1" s="1"/>
  <c r="U206" i="1"/>
  <c r="P207" i="1" l="1"/>
  <c r="R207" i="1" l="1"/>
  <c r="S207" i="1" s="1"/>
  <c r="H208" i="1" s="1"/>
  <c r="M208" i="1" s="1"/>
  <c r="Q208" i="1" s="1"/>
  <c r="U207" i="1" l="1"/>
  <c r="P208" i="1"/>
  <c r="R208" i="1" l="1"/>
  <c r="S208" i="1" s="1"/>
  <c r="H209" i="1" s="1"/>
  <c r="M209" i="1" s="1"/>
  <c r="Q209" i="1" s="1"/>
  <c r="U208" i="1" l="1"/>
  <c r="P209" i="1"/>
  <c r="R209" i="1" l="1"/>
  <c r="S209" i="1" s="1"/>
  <c r="H210" i="1" s="1"/>
  <c r="M210" i="1" s="1"/>
  <c r="Q210" i="1" s="1"/>
  <c r="U209" i="1" l="1"/>
  <c r="P210" i="1"/>
  <c r="R210" i="1" l="1"/>
  <c r="S210" i="1" s="1"/>
  <c r="H211" i="1" s="1"/>
  <c r="M211" i="1" s="1"/>
  <c r="Q211" i="1" s="1"/>
  <c r="U210" i="1" l="1"/>
  <c r="P211" i="1"/>
  <c r="R211" i="1" l="1"/>
  <c r="S211" i="1" s="1"/>
  <c r="U211" i="1" s="1"/>
  <c r="H212" i="1" l="1"/>
  <c r="M212" i="1" s="1"/>
  <c r="P212" i="1" l="1"/>
  <c r="Q212" i="1"/>
  <c r="R212" i="1" s="1"/>
  <c r="S212" i="1" s="1"/>
  <c r="H213" i="1" s="1"/>
  <c r="M213" i="1" s="1"/>
  <c r="Q213" i="1" s="1"/>
  <c r="U212" i="1" l="1"/>
  <c r="P213" i="1"/>
  <c r="R213" i="1" l="1"/>
  <c r="S213" i="1" s="1"/>
  <c r="H214" i="1" s="1"/>
  <c r="M214" i="1" s="1"/>
  <c r="Q214" i="1" s="1"/>
  <c r="U213" i="1" l="1"/>
  <c r="P214" i="1"/>
  <c r="R214" i="1" s="1"/>
  <c r="S214" i="1" s="1"/>
  <c r="H215" i="1" l="1"/>
  <c r="M215" i="1" s="1"/>
  <c r="Q215" i="1" s="1"/>
  <c r="U214" i="1"/>
  <c r="P215" i="1" l="1"/>
  <c r="R215" i="1" l="1"/>
  <c r="S215" i="1" s="1"/>
  <c r="H216" i="1" s="1"/>
  <c r="M216" i="1" s="1"/>
  <c r="Q216" i="1" s="1"/>
  <c r="U215" i="1" l="1"/>
  <c r="P216" i="1"/>
  <c r="R216" i="1" l="1"/>
  <c r="S216" i="1" s="1"/>
  <c r="U216" i="1" s="1"/>
  <c r="H217" i="1" l="1"/>
  <c r="M217" i="1" s="1"/>
  <c r="P217" i="1" l="1"/>
  <c r="Q217" i="1"/>
  <c r="R217" i="1" l="1"/>
  <c r="S217" i="1" s="1"/>
  <c r="H218" i="1" s="1"/>
  <c r="M218" i="1" s="1"/>
  <c r="Q218" i="1" s="1"/>
  <c r="P218" i="1" l="1"/>
  <c r="R218" i="1" s="1"/>
  <c r="S218" i="1" s="1"/>
  <c r="H219" i="1" s="1"/>
  <c r="M219" i="1" s="1"/>
  <c r="Q219" i="1" s="1"/>
  <c r="U217" i="1"/>
  <c r="U218" i="1" l="1"/>
  <c r="P219" i="1"/>
  <c r="R219" i="1" l="1"/>
  <c r="S219" i="1" s="1"/>
  <c r="H220" i="1" s="1"/>
  <c r="M220" i="1" s="1"/>
  <c r="Q220" i="1" s="1"/>
  <c r="U219" i="1" l="1"/>
  <c r="P220" i="1"/>
  <c r="R220" i="1" l="1"/>
  <c r="S220" i="1" s="1"/>
  <c r="H221" i="1" s="1"/>
  <c r="M221" i="1" s="1"/>
  <c r="Q221" i="1" s="1"/>
  <c r="U220" i="1" l="1"/>
  <c r="P221" i="1"/>
  <c r="R221" i="1" l="1"/>
  <c r="S221" i="1" s="1"/>
  <c r="U221" i="1" s="1"/>
  <c r="H222" i="1" l="1"/>
  <c r="M222" i="1" s="1"/>
  <c r="Q222" i="1" s="1"/>
  <c r="P222" i="1" l="1"/>
  <c r="R222" i="1" s="1"/>
  <c r="S222" i="1" s="1"/>
  <c r="H223" i="1" s="1"/>
  <c r="M223" i="1" s="1"/>
  <c r="Q223" i="1" s="1"/>
  <c r="U222" i="1" l="1"/>
  <c r="P223" i="1"/>
  <c r="R223" i="1" l="1"/>
  <c r="S223" i="1" s="1"/>
  <c r="U223" i="1" s="1"/>
  <c r="H224" i="1" l="1"/>
  <c r="M224" i="1" s="1"/>
  <c r="Q224" i="1" s="1"/>
  <c r="P224" i="1" l="1"/>
  <c r="R224" i="1" s="1"/>
  <c r="S224" i="1" s="1"/>
  <c r="U224" i="1" l="1"/>
  <c r="H225" i="1"/>
  <c r="M225" i="1" s="1"/>
  <c r="P225" i="1" l="1"/>
  <c r="Q225" i="1"/>
  <c r="R225" i="1" l="1"/>
  <c r="S225" i="1" s="1"/>
  <c r="U225" i="1" s="1"/>
  <c r="H226" i="1" l="1"/>
  <c r="M226" i="1" s="1"/>
  <c r="Q226" i="1" s="1"/>
  <c r="P226" i="1" l="1"/>
  <c r="R226" i="1" s="1"/>
  <c r="S226" i="1" s="1"/>
  <c r="H227" i="1" s="1"/>
  <c r="M227" i="1" s="1"/>
  <c r="Q227" i="1" s="1"/>
  <c r="P227" i="1" l="1"/>
  <c r="R227" i="1" s="1"/>
  <c r="S227" i="1" s="1"/>
  <c r="H228" i="1" s="1"/>
  <c r="M228" i="1" s="1"/>
  <c r="Q228" i="1" s="1"/>
  <c r="U226" i="1"/>
  <c r="U227" i="1" l="1"/>
  <c r="P228" i="1"/>
  <c r="R228" i="1" l="1"/>
  <c r="S228" i="1" s="1"/>
  <c r="U228" i="1" s="1"/>
  <c r="H229" i="1" l="1"/>
  <c r="M229" i="1" s="1"/>
  <c r="P229" i="1" l="1"/>
  <c r="Q229" i="1"/>
  <c r="R229" i="1" l="1"/>
  <c r="S229" i="1" s="1"/>
  <c r="H230" i="1" s="1"/>
  <c r="M230" i="1" s="1"/>
  <c r="Q230" i="1" s="1"/>
  <c r="P230" i="1" l="1"/>
  <c r="R230" i="1" s="1"/>
  <c r="S230" i="1" s="1"/>
  <c r="U230" i="1" s="1"/>
  <c r="U229" i="1"/>
  <c r="H231" i="1" l="1"/>
  <c r="M231" i="1" s="1"/>
  <c r="P231" i="1" l="1"/>
  <c r="Q231" i="1"/>
  <c r="R231" i="1" l="1"/>
  <c r="S231" i="1" s="1"/>
  <c r="U231" i="1" s="1"/>
  <c r="H232" i="1" l="1"/>
  <c r="M232" i="1" s="1"/>
  <c r="P232" i="1" s="1"/>
  <c r="Q232" i="1" l="1"/>
  <c r="R232" i="1" s="1"/>
  <c r="S232" i="1" s="1"/>
  <c r="H233" i="1" s="1"/>
  <c r="M233" i="1" s="1"/>
  <c r="Q233" i="1" s="1"/>
  <c r="P233" i="1" l="1"/>
  <c r="R233" i="1" s="1"/>
  <c r="S233" i="1" s="1"/>
  <c r="U233" i="1" s="1"/>
  <c r="U232" i="1"/>
  <c r="H234" i="1" l="1"/>
  <c r="M234" i="1" s="1"/>
  <c r="P234" i="1" l="1"/>
  <c r="Q234" i="1"/>
  <c r="R234" i="1" l="1"/>
  <c r="S234" i="1" s="1"/>
  <c r="H235" i="1" s="1"/>
  <c r="M235" i="1" s="1"/>
  <c r="Q235" i="1" s="1"/>
  <c r="U234" i="1" l="1"/>
  <c r="P235" i="1"/>
  <c r="R235" i="1" s="1"/>
  <c r="S235" i="1" s="1"/>
  <c r="U235" i="1" l="1"/>
  <c r="H236" i="1"/>
  <c r="M236" i="1" s="1"/>
  <c r="Q236" i="1" s="1"/>
  <c r="P236" i="1" l="1"/>
  <c r="R236" i="1" s="1"/>
  <c r="S236" i="1" s="1"/>
  <c r="H237" i="1" s="1"/>
  <c r="M237" i="1" s="1"/>
  <c r="Q237" i="1" s="1"/>
  <c r="U236" i="1" l="1"/>
  <c r="P237" i="1"/>
  <c r="R237" i="1" l="1"/>
  <c r="S237" i="1" s="1"/>
  <c r="U237" i="1" s="1"/>
  <c r="H238" i="1" l="1"/>
  <c r="M238" i="1" s="1"/>
  <c r="Q238" i="1" s="1"/>
  <c r="P238" i="1" l="1"/>
  <c r="R238" i="1" s="1"/>
  <c r="S238" i="1" s="1"/>
  <c r="H239" i="1" l="1"/>
  <c r="M239" i="1" s="1"/>
  <c r="U238" i="1"/>
  <c r="P239" i="1" l="1"/>
  <c r="Q239" i="1"/>
  <c r="R239" i="1" l="1"/>
  <c r="S239" i="1" s="1"/>
  <c r="H240" i="1" s="1"/>
  <c r="M240" i="1" s="1"/>
  <c r="Q240" i="1" s="1"/>
  <c r="P240" i="1" l="1"/>
  <c r="R240" i="1" s="1"/>
  <c r="S240" i="1" s="1"/>
  <c r="U240" i="1" s="1"/>
  <c r="U239" i="1"/>
  <c r="H241" i="1" l="1"/>
  <c r="M241" i="1" s="1"/>
  <c r="Q241" i="1" s="1"/>
  <c r="P241" i="1" l="1"/>
  <c r="R241" i="1" s="1"/>
  <c r="S241" i="1" s="1"/>
  <c r="H242" i="1" s="1"/>
  <c r="M242" i="1" s="1"/>
  <c r="Q242" i="1" s="1"/>
  <c r="U241" i="1" l="1"/>
  <c r="P242" i="1"/>
  <c r="R242" i="1" l="1"/>
  <c r="S242" i="1" s="1"/>
  <c r="H243" i="1" s="1"/>
  <c r="M243" i="1" s="1"/>
  <c r="Q243" i="1" s="1"/>
  <c r="U242" i="1" l="1"/>
  <c r="P243" i="1"/>
  <c r="R243" i="1" l="1"/>
  <c r="S243" i="1" s="1"/>
  <c r="U243" i="1" s="1"/>
  <c r="H244" i="1" l="1"/>
  <c r="M244" i="1" s="1"/>
  <c r="P244" i="1" l="1"/>
  <c r="Q244" i="1"/>
  <c r="R244" i="1" l="1"/>
  <c r="S244" i="1" s="1"/>
  <c r="H245" i="1" s="1"/>
  <c r="M245" i="1" s="1"/>
  <c r="Q245" i="1" s="1"/>
  <c r="P245" i="1" l="1"/>
  <c r="R245" i="1" s="1"/>
  <c r="S245" i="1" s="1"/>
  <c r="H246" i="1" s="1"/>
  <c r="M246" i="1" s="1"/>
  <c r="Q246" i="1" s="1"/>
  <c r="U244" i="1"/>
  <c r="U245" i="1" l="1"/>
  <c r="P246" i="1"/>
  <c r="R246" i="1" l="1"/>
  <c r="S246" i="1" s="1"/>
  <c r="U246" i="1" s="1"/>
  <c r="H247" i="1" l="1"/>
  <c r="M247" i="1" s="1"/>
  <c r="Q247" i="1" s="1"/>
  <c r="P247" i="1" l="1"/>
  <c r="R247" i="1" s="1"/>
  <c r="S247" i="1" s="1"/>
  <c r="H248" i="1" s="1"/>
  <c r="M248" i="1" s="1"/>
  <c r="Q248" i="1" s="1"/>
  <c r="U247" i="1" l="1"/>
  <c r="P248" i="1"/>
  <c r="R248" i="1" l="1"/>
  <c r="S248" i="1" s="1"/>
  <c r="U248" i="1" s="1"/>
  <c r="H249" i="1" l="1"/>
  <c r="M249" i="1" s="1"/>
  <c r="Q249" i="1" s="1"/>
  <c r="P249" i="1" l="1"/>
  <c r="R249" i="1" s="1"/>
  <c r="S249" i="1" s="1"/>
  <c r="U249" i="1" l="1"/>
  <c r="H250" i="1"/>
  <c r="M250" i="1" s="1"/>
  <c r="P250" i="1" l="1"/>
  <c r="Q250" i="1"/>
  <c r="R250" i="1" s="1"/>
  <c r="S250" i="1" s="1"/>
  <c r="U250" i="1" s="1"/>
  <c r="H251" i="1" l="1"/>
  <c r="M251" i="1" s="1"/>
  <c r="Q251" i="1" s="1"/>
  <c r="P251" i="1" l="1"/>
  <c r="R251" i="1" s="1"/>
  <c r="S251" i="1" s="1"/>
  <c r="U251" i="1" s="1"/>
  <c r="H252" i="1" l="1"/>
  <c r="M252" i="1" s="1"/>
  <c r="Q252" i="1" s="1"/>
  <c r="P252" i="1" l="1"/>
  <c r="R252" i="1" s="1"/>
  <c r="S252" i="1" s="1"/>
  <c r="U252" i="1" l="1"/>
  <c r="H253" i="1"/>
  <c r="M253" i="1" s="1"/>
  <c r="Q253" i="1" s="1"/>
  <c r="P253" i="1" l="1"/>
  <c r="R253" i="1" s="1"/>
  <c r="S253" i="1" s="1"/>
  <c r="U253" i="1" s="1"/>
  <c r="H254" i="1" l="1"/>
  <c r="M254" i="1" s="1"/>
  <c r="Q254" i="1" s="1"/>
  <c r="P254" i="1" l="1"/>
  <c r="R254" i="1" s="1"/>
  <c r="S254" i="1" s="1"/>
  <c r="U254" i="1" l="1"/>
  <c r="H255" i="1"/>
  <c r="M255" i="1" s="1"/>
  <c r="P255" i="1" l="1"/>
  <c r="Q255" i="1"/>
  <c r="R255" i="1" l="1"/>
  <c r="S255" i="1" s="1"/>
  <c r="H256" i="1" s="1"/>
  <c r="M256" i="1" s="1"/>
  <c r="Q256" i="1" s="1"/>
  <c r="U255" i="1" l="1"/>
  <c r="U256" i="1" s="1"/>
  <c r="P256" i="1"/>
  <c r="R256" i="1" l="1"/>
  <c r="S256" i="1" s="1"/>
  <c r="H257" i="1" s="1"/>
  <c r="M257" i="1" s="1"/>
  <c r="Q257" i="1" s="1"/>
  <c r="T256" i="1" l="1"/>
  <c r="P257" i="1"/>
  <c r="R257" i="1" l="1"/>
  <c r="S257" i="1" s="1"/>
  <c r="U257" i="1" l="1"/>
  <c r="H258" i="1"/>
  <c r="M258" i="1" s="1"/>
  <c r="P258" i="1" l="1"/>
  <c r="Q258" i="1"/>
  <c r="R258" i="1" l="1"/>
  <c r="S258" i="1" s="1"/>
  <c r="H259" i="1" l="1"/>
  <c r="M259" i="1" s="1"/>
  <c r="U258" i="1"/>
  <c r="Q259" i="1" l="1"/>
  <c r="P259" i="1"/>
  <c r="R259" i="1" l="1"/>
  <c r="S259" i="1" s="1"/>
  <c r="H260" i="1" s="1"/>
  <c r="M260" i="1" s="1"/>
  <c r="U259" i="1" l="1"/>
  <c r="Q260" i="1"/>
  <c r="P260" i="1"/>
  <c r="R260" i="1" l="1"/>
  <c r="S260" i="1" s="1"/>
  <c r="U260" i="1" l="1"/>
  <c r="H261" i="1"/>
  <c r="M261" i="1" s="1"/>
  <c r="Q261" i="1" l="1"/>
  <c r="P261" i="1"/>
  <c r="R261" i="1" l="1"/>
  <c r="S261" i="1" s="1"/>
  <c r="H262" i="1" l="1"/>
  <c r="M262" i="1" s="1"/>
  <c r="U261" i="1"/>
  <c r="Q262" i="1" l="1"/>
  <c r="P262" i="1"/>
  <c r="R262" i="1" l="1"/>
  <c r="S262" i="1" s="1"/>
  <c r="H263" i="1" l="1"/>
  <c r="M263" i="1" s="1"/>
  <c r="U262" i="1"/>
  <c r="Q263" i="1" l="1"/>
  <c r="P263" i="1"/>
  <c r="R263" i="1" l="1"/>
  <c r="S263" i="1" s="1"/>
  <c r="H264" i="1" l="1"/>
  <c r="M264" i="1" s="1"/>
  <c r="U263" i="1"/>
  <c r="Q264" i="1" l="1"/>
  <c r="P264" i="1"/>
  <c r="R264" i="1" l="1"/>
  <c r="S264" i="1" s="1"/>
  <c r="U264" i="1" s="1"/>
  <c r="H265" i="1" l="1"/>
  <c r="M265" i="1" s="1"/>
  <c r="P265" i="1" s="1"/>
  <c r="Q265" i="1" l="1"/>
  <c r="R265" i="1" s="1"/>
  <c r="S265" i="1" s="1"/>
  <c r="U265" i="1" s="1"/>
  <c r="H266" i="1" l="1"/>
  <c r="M266" i="1" s="1"/>
  <c r="P266" i="1" s="1"/>
  <c r="Q266" i="1" l="1"/>
  <c r="R266" i="1" s="1"/>
  <c r="S266" i="1" s="1"/>
  <c r="U266" i="1" l="1"/>
  <c r="H267" i="1"/>
  <c r="M267" i="1" s="1"/>
  <c r="P267" i="1" s="1"/>
  <c r="Q267" i="1" l="1"/>
  <c r="R267" i="1" s="1"/>
  <c r="S267" i="1" s="1"/>
  <c r="H268" i="1" s="1"/>
  <c r="M268" i="1" s="1"/>
  <c r="U267" i="1" l="1"/>
  <c r="Q268" i="1"/>
  <c r="P268" i="1"/>
  <c r="R268" i="1" l="1"/>
  <c r="S268" i="1" s="1"/>
  <c r="H269" i="1" l="1"/>
  <c r="M269" i="1" s="1"/>
  <c r="U268" i="1"/>
  <c r="Q269" i="1" l="1"/>
  <c r="P269" i="1"/>
  <c r="R269" i="1" l="1"/>
  <c r="S269" i="1" s="1"/>
  <c r="H270" i="1" l="1"/>
  <c r="M270" i="1" s="1"/>
  <c r="U269" i="1"/>
  <c r="Q270" i="1" l="1"/>
  <c r="P270" i="1"/>
  <c r="R270" i="1" l="1"/>
  <c r="S270" i="1" s="1"/>
  <c r="U270" i="1" s="1"/>
  <c r="H271" i="1" l="1"/>
  <c r="M271" i="1" s="1"/>
  <c r="Q271" i="1" s="1"/>
  <c r="P271" i="1" l="1"/>
  <c r="R271" i="1" s="1"/>
  <c r="S271" i="1" s="1"/>
  <c r="U271" i="1" s="1"/>
  <c r="H272" i="1" l="1"/>
  <c r="M272" i="1" s="1"/>
  <c r="P272" i="1" s="1"/>
  <c r="Q272" i="1" l="1"/>
  <c r="R272" i="1" s="1"/>
  <c r="S272" i="1" s="1"/>
  <c r="H273" i="1" l="1"/>
  <c r="M273" i="1" s="1"/>
  <c r="Q273" i="1" s="1"/>
  <c r="U272" i="1"/>
  <c r="P273" i="1" l="1"/>
  <c r="R273" i="1" s="1"/>
  <c r="S273" i="1" s="1"/>
  <c r="H274" i="1" s="1"/>
  <c r="M274" i="1" s="1"/>
  <c r="U273" i="1" l="1"/>
  <c r="Q274" i="1"/>
  <c r="P274" i="1"/>
  <c r="R274" i="1" l="1"/>
  <c r="S274" i="1" s="1"/>
  <c r="H275" i="1" s="1"/>
  <c r="M275" i="1" s="1"/>
  <c r="U274" i="1" l="1"/>
  <c r="Q275" i="1"/>
  <c r="P275" i="1"/>
  <c r="R275" i="1" l="1"/>
  <c r="S275" i="1" s="1"/>
  <c r="U275" i="1" s="1"/>
  <c r="H276" i="1" l="1"/>
  <c r="M276" i="1" s="1"/>
  <c r="P276" i="1" s="1"/>
  <c r="Q276" i="1" l="1"/>
  <c r="R276" i="1" s="1"/>
  <c r="S276" i="1" s="1"/>
  <c r="U276" i="1" s="1"/>
  <c r="H277" i="1" l="1"/>
  <c r="M277" i="1" s="1"/>
  <c r="P277" i="1" s="1"/>
  <c r="Q277" i="1"/>
  <c r="R277" i="1" l="1"/>
  <c r="S277" i="1" s="1"/>
  <c r="U277" i="1" s="1"/>
  <c r="H278" i="1" l="1"/>
  <c r="M278" i="1" s="1"/>
  <c r="P278" i="1" s="1"/>
  <c r="Q278" i="1" l="1"/>
  <c r="R278" i="1" s="1"/>
  <c r="S278" i="1" s="1"/>
  <c r="H279" i="1" l="1"/>
  <c r="M279" i="1" s="1"/>
  <c r="Q279" i="1" s="1"/>
  <c r="U278" i="1"/>
  <c r="P279" i="1" l="1"/>
  <c r="R279" i="1" s="1"/>
  <c r="S279" i="1" s="1"/>
  <c r="U279" i="1" l="1"/>
  <c r="H280" i="1"/>
  <c r="M280" i="1" s="1"/>
  <c r="Q280" i="1" s="1"/>
  <c r="P280" i="1" l="1"/>
  <c r="R280" i="1" s="1"/>
  <c r="S280" i="1" s="1"/>
  <c r="H281" i="1" l="1"/>
  <c r="M281" i="1" s="1"/>
  <c r="U280" i="1"/>
  <c r="Q281" i="1" l="1"/>
  <c r="P281" i="1"/>
  <c r="R281" i="1" l="1"/>
  <c r="S281" i="1" s="1"/>
  <c r="H282" i="1" s="1"/>
  <c r="M282" i="1" s="1"/>
  <c r="U281" i="1" l="1"/>
  <c r="Q282" i="1"/>
  <c r="P282" i="1"/>
  <c r="R282" i="1" l="1"/>
  <c r="S282" i="1" s="1"/>
  <c r="U282" i="1" s="1"/>
  <c r="H283" i="1" l="1"/>
  <c r="M283" i="1" s="1"/>
  <c r="Q283" i="1" s="1"/>
  <c r="P283" i="1" l="1"/>
  <c r="R283" i="1" s="1"/>
  <c r="S283" i="1" s="1"/>
  <c r="H284" i="1" l="1"/>
  <c r="M284" i="1" s="1"/>
  <c r="U283" i="1"/>
  <c r="Q284" i="1" l="1"/>
  <c r="P284" i="1"/>
  <c r="R284" i="1" l="1"/>
  <c r="S284" i="1" s="1"/>
  <c r="H285" i="1" s="1"/>
  <c r="M285" i="1" s="1"/>
  <c r="U284" i="1" l="1"/>
  <c r="Q285" i="1"/>
  <c r="P285" i="1"/>
  <c r="R285" i="1" l="1"/>
  <c r="S285" i="1" s="1"/>
  <c r="H286" i="1" l="1"/>
  <c r="M286" i="1" s="1"/>
  <c r="U285" i="1"/>
  <c r="Q286" i="1" l="1"/>
  <c r="P286" i="1"/>
  <c r="R286" i="1" l="1"/>
  <c r="S286" i="1" s="1"/>
  <c r="U286" i="1" s="1"/>
  <c r="H287" i="1" l="1"/>
  <c r="M287" i="1" s="1"/>
  <c r="Q287" i="1" s="1"/>
  <c r="P287" i="1" l="1"/>
  <c r="R287" i="1" s="1"/>
  <c r="S287" i="1" s="1"/>
  <c r="H288" i="1" s="1"/>
  <c r="M288" i="1" s="1"/>
  <c r="U287" i="1" l="1"/>
  <c r="Q288" i="1"/>
  <c r="P288" i="1"/>
  <c r="R288" i="1" l="1"/>
  <c r="S288" i="1" s="1"/>
  <c r="H289" i="1" s="1"/>
  <c r="M289" i="1" s="1"/>
  <c r="U288" i="1" l="1"/>
  <c r="Q289" i="1"/>
  <c r="P289" i="1"/>
  <c r="R289" i="1" l="1"/>
  <c r="S289" i="1" s="1"/>
  <c r="U289" i="1" s="1"/>
  <c r="H290" i="1" l="1"/>
  <c r="M290" i="1" s="1"/>
  <c r="P290" i="1" s="1"/>
  <c r="Q290" i="1" l="1"/>
  <c r="R290" i="1" s="1"/>
  <c r="S290" i="1" s="1"/>
  <c r="H291" i="1" l="1"/>
  <c r="M291" i="1" s="1"/>
  <c r="Q291" i="1" s="1"/>
  <c r="U290" i="1"/>
  <c r="P291" i="1" l="1"/>
  <c r="R291" i="1" s="1"/>
  <c r="S291" i="1" s="1"/>
  <c r="U291" i="1" s="1"/>
  <c r="H292" i="1" l="1"/>
  <c r="M292" i="1" s="1"/>
  <c r="Q292" i="1" s="1"/>
  <c r="P292" i="1" l="1"/>
  <c r="R292" i="1" s="1"/>
  <c r="S292" i="1" s="1"/>
  <c r="H293" i="1" l="1"/>
  <c r="M293" i="1" s="1"/>
  <c r="Q293" i="1" s="1"/>
  <c r="U292" i="1"/>
  <c r="P293" i="1" l="1"/>
  <c r="R293" i="1"/>
  <c r="S293" i="1" s="1"/>
  <c r="H294" i="1" s="1"/>
  <c r="M294" i="1" s="1"/>
  <c r="U293" i="1" l="1"/>
  <c r="Q294" i="1"/>
  <c r="P294" i="1"/>
  <c r="R294" i="1" l="1"/>
  <c r="S294" i="1" s="1"/>
  <c r="H295" i="1" s="1"/>
  <c r="M295" i="1" s="1"/>
  <c r="U294" i="1" l="1"/>
  <c r="P295" i="1"/>
  <c r="Q295" i="1"/>
  <c r="R295" i="1" s="1"/>
  <c r="S295" i="1" s="1"/>
  <c r="U295" i="1" l="1"/>
  <c r="H296" i="1"/>
  <c r="M296" i="1" s="1"/>
  <c r="P296" i="1" l="1"/>
  <c r="Q296" i="1"/>
  <c r="R296" i="1" l="1"/>
  <c r="S296" i="1" s="1"/>
  <c r="H297" i="1" s="1"/>
  <c r="M297" i="1" s="1"/>
  <c r="U296" i="1" l="1"/>
  <c r="Q297" i="1"/>
  <c r="P297" i="1"/>
  <c r="R297" i="1" l="1"/>
  <c r="S297" i="1" s="1"/>
  <c r="H298" i="1" s="1"/>
  <c r="M298" i="1" s="1"/>
  <c r="U297" i="1" l="1"/>
  <c r="Q298" i="1"/>
  <c r="P298" i="1"/>
  <c r="R298" i="1" l="1"/>
  <c r="S298" i="1" s="1"/>
  <c r="U298" i="1" s="1"/>
  <c r="H299" i="1" l="1"/>
  <c r="M299" i="1" s="1"/>
  <c r="P299" i="1" s="1"/>
  <c r="Q299" i="1" l="1"/>
  <c r="R299" i="1" s="1"/>
  <c r="S299" i="1" l="1"/>
  <c r="H300" i="1" s="1"/>
  <c r="M300" i="1" s="1"/>
  <c r="U299" i="1" l="1"/>
  <c r="P300" i="1"/>
  <c r="Q300" i="1"/>
  <c r="R300" i="1" l="1"/>
  <c r="S300" i="1" l="1"/>
  <c r="H301" i="1" l="1"/>
  <c r="M301" i="1" s="1"/>
  <c r="U300" i="1"/>
  <c r="Q301" i="1" l="1"/>
  <c r="P301" i="1"/>
  <c r="R301" i="1" l="1"/>
  <c r="S301" i="1" l="1"/>
  <c r="U301" i="1" l="1"/>
  <c r="H302" i="1"/>
  <c r="M302" i="1" s="1"/>
  <c r="Q302" i="1" l="1"/>
  <c r="P302" i="1"/>
  <c r="R302" i="1" l="1"/>
  <c r="S302" i="1" l="1"/>
  <c r="H303" i="1" l="1"/>
  <c r="M303" i="1" s="1"/>
  <c r="U302" i="1"/>
  <c r="Q303" i="1" l="1"/>
  <c r="P303" i="1"/>
  <c r="P3" i="1" s="1"/>
  <c r="R303" i="1" l="1"/>
  <c r="Q3" i="1"/>
  <c r="S303" i="1" l="1"/>
  <c r="R3" i="1"/>
  <c r="U303" i="1" l="1"/>
  <c r="H304" i="1"/>
  <c r="M304" i="1" s="1"/>
  <c r="P304" i="1" l="1"/>
  <c r="Q304" i="1"/>
  <c r="R304" i="1" s="1"/>
  <c r="S304" i="1" s="1"/>
  <c r="AJ55" i="1" l="1"/>
  <c r="AI57" i="1"/>
  <c r="AH57" i="1" s="1"/>
  <c r="AQ55" i="1"/>
  <c r="AR55" i="1" s="1"/>
  <c r="AS55" i="1" s="1"/>
  <c r="AT55" i="1"/>
  <c r="AU55" i="1" s="1"/>
  <c r="AV55" i="1" s="1"/>
  <c r="AY55" i="1"/>
  <c r="AM55" i="1"/>
  <c r="AN55" i="1"/>
  <c r="AO55" i="1" s="1"/>
  <c r="AP55" i="1" s="1"/>
  <c r="AZ55" i="1"/>
  <c r="AK55" i="1" l="1"/>
  <c r="AL55" i="1"/>
  <c r="AJ56" i="1"/>
  <c r="AL56" i="1" s="1"/>
  <c r="BA55" i="1"/>
  <c r="BB55" i="1" s="1"/>
  <c r="AX56" i="1" s="1"/>
  <c r="AZ56" i="1" s="1"/>
  <c r="AQ56" i="1"/>
  <c r="AR56" i="1" s="1"/>
  <c r="AS56" i="1" s="1"/>
  <c r="AM56" i="1"/>
  <c r="AN56" i="1"/>
  <c r="AO56" i="1" s="1"/>
  <c r="AP56" i="1" s="1"/>
  <c r="AJ57" i="1"/>
  <c r="AT56" i="1"/>
  <c r="AU56" i="1" s="1"/>
  <c r="AV56" i="1" s="1"/>
  <c r="AB54" i="1" l="1"/>
  <c r="AK57" i="1"/>
  <c r="AL57" i="1"/>
  <c r="AI58" i="1"/>
  <c r="AH58" i="1" s="1"/>
  <c r="AH5" i="1"/>
  <c r="F25" i="2" s="1"/>
  <c r="AK56" i="1"/>
  <c r="AJ4" i="1"/>
  <c r="AY56" i="1"/>
  <c r="BA56" i="1" s="1"/>
  <c r="BB56" i="1" s="1"/>
  <c r="AX57" i="1" s="1"/>
  <c r="AT57" i="1"/>
  <c r="AU57" i="1" s="1"/>
  <c r="AQ57" i="1"/>
  <c r="AR57" i="1" s="1"/>
  <c r="AM57" i="1"/>
  <c r="AN57" i="1"/>
  <c r="AO57" i="1" s="1"/>
  <c r="AI59" i="1" l="1"/>
  <c r="AH59" i="1" s="1"/>
  <c r="BH17" i="1"/>
  <c r="BK17" i="1" s="1"/>
  <c r="AM58" i="1"/>
  <c r="AT58" i="1"/>
  <c r="AU58" i="1" s="1"/>
  <c r="AV58" i="1" s="1"/>
  <c r="AN58" i="1"/>
  <c r="AO58" i="1" s="1"/>
  <c r="AP58" i="1" s="1"/>
  <c r="AQ58" i="1"/>
  <c r="AR58" i="1" s="1"/>
  <c r="AS58" i="1" s="1"/>
  <c r="AY57" i="1"/>
  <c r="AZ57" i="1"/>
  <c r="BN17" i="1"/>
  <c r="AP57" i="1"/>
  <c r="BI17" i="1" s="1"/>
  <c r="BL17" i="1" s="1"/>
  <c r="AS57" i="1"/>
  <c r="BJ17" i="1" s="1"/>
  <c r="BM17" i="1" s="1"/>
  <c r="AV57" i="1"/>
  <c r="AI60" i="1" l="1"/>
  <c r="AH60" i="1" s="1"/>
  <c r="BO17" i="1"/>
  <c r="BP17" i="1"/>
  <c r="BA57" i="1"/>
  <c r="BB57" i="1" s="1"/>
  <c r="AX58" i="1" s="1"/>
  <c r="AY58" i="1" s="1"/>
  <c r="AM59" i="1"/>
  <c r="AQ59" i="1"/>
  <c r="AR59" i="1" s="1"/>
  <c r="AS59" i="1" s="1"/>
  <c r="AT59" i="1"/>
  <c r="AU59" i="1" s="1"/>
  <c r="AV59" i="1" s="1"/>
  <c r="AN59" i="1"/>
  <c r="AO59" i="1" s="1"/>
  <c r="AP59" i="1" s="1"/>
  <c r="AI61" i="1" l="1"/>
  <c r="AH61" i="1" s="1"/>
  <c r="AZ58" i="1"/>
  <c r="BA58" i="1" s="1"/>
  <c r="BB58" i="1" s="1"/>
  <c r="AX59" i="1" s="1"/>
  <c r="AM60" i="1"/>
  <c r="AN60" i="1"/>
  <c r="AO60" i="1" s="1"/>
  <c r="AP60" i="1" s="1"/>
  <c r="AQ60" i="1"/>
  <c r="AR60" i="1" s="1"/>
  <c r="AS60" i="1" s="1"/>
  <c r="AT60" i="1"/>
  <c r="AU60" i="1" s="1"/>
  <c r="AV60" i="1" s="1"/>
  <c r="AI62" i="1" l="1"/>
  <c r="AH62" i="1" s="1"/>
  <c r="AY59" i="1"/>
  <c r="AZ59" i="1"/>
  <c r="AN61" i="1"/>
  <c r="AO61" i="1" s="1"/>
  <c r="AP61" i="1" s="1"/>
  <c r="AM61" i="1"/>
  <c r="AQ61" i="1"/>
  <c r="AR61" i="1" s="1"/>
  <c r="AS61" i="1" s="1"/>
  <c r="AT61" i="1"/>
  <c r="AU61" i="1" s="1"/>
  <c r="AV61" i="1" s="1"/>
  <c r="AI63" i="1" l="1"/>
  <c r="AH63" i="1" s="1"/>
  <c r="BA59" i="1"/>
  <c r="BB59" i="1" s="1"/>
  <c r="AX60" i="1" s="1"/>
  <c r="AZ60" i="1" s="1"/>
  <c r="AN62" i="1"/>
  <c r="AO62" i="1" s="1"/>
  <c r="AT62" i="1"/>
  <c r="AU62" i="1" s="1"/>
  <c r="AM62" i="1"/>
  <c r="BH18" i="1" s="1"/>
  <c r="BK18" i="1" s="1"/>
  <c r="AQ62" i="1"/>
  <c r="AR62" i="1" s="1"/>
  <c r="AI64" i="1" l="1"/>
  <c r="AH64" i="1" s="1"/>
  <c r="AY60" i="1"/>
  <c r="BA60" i="1" s="1"/>
  <c r="BB60" i="1" s="1"/>
  <c r="AX61" i="1" s="1"/>
  <c r="AY61" i="1" s="1"/>
  <c r="AN63" i="1"/>
  <c r="AO63" i="1" s="1"/>
  <c r="AP63" i="1" s="1"/>
  <c r="AT63" i="1"/>
  <c r="AU63" i="1" s="1"/>
  <c r="AV63" i="1" s="1"/>
  <c r="AM63" i="1"/>
  <c r="AQ63" i="1"/>
  <c r="AR63" i="1" s="1"/>
  <c r="AS63" i="1" s="1"/>
  <c r="AP62" i="1"/>
  <c r="BI18" i="1" s="1"/>
  <c r="BL18" i="1" s="1"/>
  <c r="BN18" i="1"/>
  <c r="AV62" i="1"/>
  <c r="AS62" i="1"/>
  <c r="BJ18" i="1" s="1"/>
  <c r="BM18" i="1" s="1"/>
  <c r="AI65" i="1" l="1"/>
  <c r="AH65" i="1" s="1"/>
  <c r="BP18" i="1"/>
  <c r="BO18" i="1"/>
  <c r="AZ61" i="1"/>
  <c r="BA61" i="1" s="1"/>
  <c r="BB61" i="1" s="1"/>
  <c r="AX62" i="1" s="1"/>
  <c r="AY62" i="1" s="1"/>
  <c r="AN64" i="1"/>
  <c r="AO64" i="1" s="1"/>
  <c r="AP64" i="1" s="1"/>
  <c r="AT64" i="1"/>
  <c r="AU64" i="1" s="1"/>
  <c r="AV64" i="1" s="1"/>
  <c r="AQ64" i="1"/>
  <c r="AR64" i="1" s="1"/>
  <c r="AS64" i="1" s="1"/>
  <c r="AM64" i="1"/>
  <c r="AI66" i="1" l="1"/>
  <c r="AH66" i="1" s="1"/>
  <c r="AZ62" i="1"/>
  <c r="BA62" i="1" s="1"/>
  <c r="BB62" i="1" s="1"/>
  <c r="AX63" i="1" s="1"/>
  <c r="AM65" i="1"/>
  <c r="AT65" i="1"/>
  <c r="AU65" i="1" s="1"/>
  <c r="AV65" i="1" s="1"/>
  <c r="AN65" i="1"/>
  <c r="AO65" i="1" s="1"/>
  <c r="AP65" i="1" s="1"/>
  <c r="AQ65" i="1"/>
  <c r="AR65" i="1" s="1"/>
  <c r="AS65" i="1" s="1"/>
  <c r="AI67" i="1" l="1"/>
  <c r="AH4" i="1"/>
  <c r="F24" i="2" s="1"/>
  <c r="AN66" i="1"/>
  <c r="AO66" i="1" s="1"/>
  <c r="AP66" i="1" s="1"/>
  <c r="AM66" i="1"/>
  <c r="AQ66" i="1"/>
  <c r="AR66" i="1" s="1"/>
  <c r="AS66" i="1" s="1"/>
  <c r="AT66" i="1"/>
  <c r="AU66" i="1" s="1"/>
  <c r="AV66" i="1" s="1"/>
  <c r="AY63" i="1"/>
  <c r="AZ63" i="1"/>
  <c r="AH67" i="1" l="1"/>
  <c r="AN67" i="1" s="1"/>
  <c r="AO67" i="1" s="1"/>
  <c r="BA63" i="1"/>
  <c r="BB63" i="1" s="1"/>
  <c r="AX64" i="1" s="1"/>
  <c r="AZ64" i="1" s="1"/>
  <c r="AT67" i="1" l="1"/>
  <c r="AU67" i="1" s="1"/>
  <c r="AV67" i="1" s="1"/>
  <c r="AQ67" i="1"/>
  <c r="AR67" i="1" s="1"/>
  <c r="AS67" i="1" s="1"/>
  <c r="BJ19" i="1" s="1"/>
  <c r="BM19" i="1" s="1"/>
  <c r="AM67" i="1"/>
  <c r="BH19" i="1" s="1"/>
  <c r="BK19" i="1" s="1"/>
  <c r="AI68" i="1"/>
  <c r="AH68" i="1" s="1"/>
  <c r="AY64" i="1"/>
  <c r="BA64" i="1" s="1"/>
  <c r="BB64" i="1" s="1"/>
  <c r="AX65" i="1" s="1"/>
  <c r="AP67" i="1"/>
  <c r="BI19" i="1" s="1"/>
  <c r="BL19" i="1" s="1"/>
  <c r="AI69" i="1" l="1"/>
  <c r="AH69" i="1" s="1"/>
  <c r="AN68" i="1"/>
  <c r="AO68" i="1" s="1"/>
  <c r="AP68" i="1" s="1"/>
  <c r="AQ68" i="1"/>
  <c r="AR68" i="1" s="1"/>
  <c r="AS68" i="1" s="1"/>
  <c r="AM68" i="1"/>
  <c r="AT68" i="1"/>
  <c r="AU68" i="1" s="1"/>
  <c r="AV68" i="1" s="1"/>
  <c r="BN19" i="1"/>
  <c r="BP19" i="1"/>
  <c r="BO19" i="1"/>
  <c r="AY65" i="1"/>
  <c r="AZ65" i="1"/>
  <c r="AI70" i="1" l="1"/>
  <c r="AH70" i="1" s="1"/>
  <c r="AN69" i="1"/>
  <c r="AO69" i="1" s="1"/>
  <c r="AP69" i="1" s="1"/>
  <c r="AM69" i="1"/>
  <c r="AT69" i="1"/>
  <c r="AU69" i="1" s="1"/>
  <c r="AV69" i="1" s="1"/>
  <c r="AQ69" i="1"/>
  <c r="AR69" i="1" s="1"/>
  <c r="AS69" i="1" s="1"/>
  <c r="BA65" i="1"/>
  <c r="BB65" i="1" s="1"/>
  <c r="AX66" i="1" s="1"/>
  <c r="AY66" i="1" s="1"/>
  <c r="AI71" i="1" l="1"/>
  <c r="AH71" i="1" s="1"/>
  <c r="AM70" i="1"/>
  <c r="AN70" i="1"/>
  <c r="AO70" i="1" s="1"/>
  <c r="AP70" i="1" s="1"/>
  <c r="AQ70" i="1"/>
  <c r="AR70" i="1" s="1"/>
  <c r="AS70" i="1" s="1"/>
  <c r="AT70" i="1"/>
  <c r="AU70" i="1" s="1"/>
  <c r="AV70" i="1" s="1"/>
  <c r="AZ66" i="1"/>
  <c r="BA66" i="1" s="1"/>
  <c r="BB66" i="1" s="1"/>
  <c r="AX67" i="1" s="1"/>
  <c r="AY67" i="1" s="1"/>
  <c r="AI72" i="1" l="1"/>
  <c r="AH72" i="1" s="1"/>
  <c r="AT71" i="1"/>
  <c r="AU71" i="1" s="1"/>
  <c r="AV71" i="1" s="1"/>
  <c r="AN71" i="1"/>
  <c r="AO71" i="1" s="1"/>
  <c r="AP71" i="1" s="1"/>
  <c r="AQ71" i="1"/>
  <c r="AR71" i="1" s="1"/>
  <c r="AS71" i="1" s="1"/>
  <c r="AM71" i="1"/>
  <c r="AZ67" i="1"/>
  <c r="BA67" i="1" s="1"/>
  <c r="BB67" i="1" s="1"/>
  <c r="AX68" i="1" s="1"/>
  <c r="AY68" i="1" s="1"/>
  <c r="AI73" i="1" l="1"/>
  <c r="AH73" i="1" s="1"/>
  <c r="AQ72" i="1"/>
  <c r="AR72" i="1" s="1"/>
  <c r="AS72" i="1" s="1"/>
  <c r="BJ20" i="1" s="1"/>
  <c r="BM20" i="1" s="1"/>
  <c r="AM72" i="1"/>
  <c r="BH20" i="1" s="1"/>
  <c r="BK20" i="1" s="1"/>
  <c r="AN72" i="1"/>
  <c r="AO72" i="1" s="1"/>
  <c r="AP72" i="1" s="1"/>
  <c r="BI20" i="1" s="1"/>
  <c r="BL20" i="1" s="1"/>
  <c r="AT72" i="1"/>
  <c r="AU72" i="1" s="1"/>
  <c r="AV72" i="1" s="1"/>
  <c r="AZ68" i="1"/>
  <c r="BA68" i="1" s="1"/>
  <c r="BB68" i="1" s="1"/>
  <c r="AX69" i="1" s="1"/>
  <c r="BN20" i="1"/>
  <c r="AI74" i="1" l="1"/>
  <c r="AH74" i="1" s="1"/>
  <c r="AQ73" i="1"/>
  <c r="AR73" i="1" s="1"/>
  <c r="AS73" i="1" s="1"/>
  <c r="AM73" i="1"/>
  <c r="AT73" i="1"/>
  <c r="AU73" i="1" s="1"/>
  <c r="AV73" i="1" s="1"/>
  <c r="AN73" i="1"/>
  <c r="AO73" i="1" s="1"/>
  <c r="AP73" i="1" s="1"/>
  <c r="BP20" i="1"/>
  <c r="BO20" i="1"/>
  <c r="AZ69" i="1"/>
  <c r="AY69" i="1"/>
  <c r="AI75" i="1" l="1"/>
  <c r="AH75" i="1" s="1"/>
  <c r="AM74" i="1"/>
  <c r="AT74" i="1"/>
  <c r="AU74" i="1" s="1"/>
  <c r="AV74" i="1" s="1"/>
  <c r="AN74" i="1"/>
  <c r="AO74" i="1" s="1"/>
  <c r="AP74" i="1" s="1"/>
  <c r="AQ74" i="1"/>
  <c r="AR74" i="1" s="1"/>
  <c r="AS74" i="1" s="1"/>
  <c r="BA69" i="1"/>
  <c r="BB69" i="1" s="1"/>
  <c r="AX70" i="1" s="1"/>
  <c r="AY70" i="1" s="1"/>
  <c r="AI76" i="1" l="1"/>
  <c r="AH76" i="1" s="1"/>
  <c r="AQ75" i="1"/>
  <c r="AR75" i="1" s="1"/>
  <c r="AS75" i="1" s="1"/>
  <c r="AM75" i="1"/>
  <c r="AN75" i="1"/>
  <c r="AO75" i="1" s="1"/>
  <c r="AP75" i="1" s="1"/>
  <c r="AT75" i="1"/>
  <c r="AU75" i="1" s="1"/>
  <c r="AV75" i="1" s="1"/>
  <c r="AZ70" i="1"/>
  <c r="BA70" i="1" s="1"/>
  <c r="BB70" i="1" s="1"/>
  <c r="AX71" i="1" s="1"/>
  <c r="AI77" i="1" l="1"/>
  <c r="AH77" i="1" s="1"/>
  <c r="AN76" i="1"/>
  <c r="AO76" i="1" s="1"/>
  <c r="AP76" i="1" s="1"/>
  <c r="AM76" i="1"/>
  <c r="AT76" i="1"/>
  <c r="AU76" i="1" s="1"/>
  <c r="AV76" i="1" s="1"/>
  <c r="AQ76" i="1"/>
  <c r="AR76" i="1" s="1"/>
  <c r="AS76" i="1" s="1"/>
  <c r="AZ71" i="1"/>
  <c r="AY71" i="1"/>
  <c r="AI78" i="1" l="1"/>
  <c r="AH78" i="1" s="1"/>
  <c r="AQ77" i="1"/>
  <c r="AR77" i="1" s="1"/>
  <c r="AS77" i="1" s="1"/>
  <c r="BJ21" i="1" s="1"/>
  <c r="BM21" i="1" s="1"/>
  <c r="AM77" i="1"/>
  <c r="BH21" i="1" s="1"/>
  <c r="BK21" i="1" s="1"/>
  <c r="AN77" i="1"/>
  <c r="AO77" i="1" s="1"/>
  <c r="AP77" i="1" s="1"/>
  <c r="BI21" i="1" s="1"/>
  <c r="BL21" i="1" s="1"/>
  <c r="AT77" i="1"/>
  <c r="AU77" i="1" s="1"/>
  <c r="AV77" i="1" s="1"/>
  <c r="BA71" i="1"/>
  <c r="BB71" i="1" s="1"/>
  <c r="AX72" i="1" s="1"/>
  <c r="AY72" i="1" s="1"/>
  <c r="AI79" i="1" l="1"/>
  <c r="AH79" i="1" s="1"/>
  <c r="AM78" i="1"/>
  <c r="AN78" i="1"/>
  <c r="AO78" i="1" s="1"/>
  <c r="AP78" i="1" s="1"/>
  <c r="AT78" i="1"/>
  <c r="AU78" i="1" s="1"/>
  <c r="AV78" i="1" s="1"/>
  <c r="AQ78" i="1"/>
  <c r="AR78" i="1" s="1"/>
  <c r="AS78" i="1" s="1"/>
  <c r="BN21" i="1"/>
  <c r="BO21" i="1"/>
  <c r="BP21" i="1"/>
  <c r="AZ72" i="1"/>
  <c r="BA72" i="1" s="1"/>
  <c r="BB72" i="1" s="1"/>
  <c r="AX73" i="1" s="1"/>
  <c r="AI80" i="1" l="1"/>
  <c r="AH80" i="1" s="1"/>
  <c r="AT79" i="1"/>
  <c r="AU79" i="1" s="1"/>
  <c r="AV79" i="1" s="1"/>
  <c r="AQ79" i="1"/>
  <c r="AR79" i="1" s="1"/>
  <c r="AS79" i="1" s="1"/>
  <c r="AN79" i="1"/>
  <c r="AO79" i="1" s="1"/>
  <c r="AP79" i="1" s="1"/>
  <c r="AM79" i="1"/>
  <c r="AZ73" i="1"/>
  <c r="AY73" i="1"/>
  <c r="AI81" i="1" l="1"/>
  <c r="AH81" i="1" s="1"/>
  <c r="AT80" i="1"/>
  <c r="AU80" i="1" s="1"/>
  <c r="AV80" i="1" s="1"/>
  <c r="AQ80" i="1"/>
  <c r="AR80" i="1" s="1"/>
  <c r="AS80" i="1" s="1"/>
  <c r="AN80" i="1"/>
  <c r="AO80" i="1" s="1"/>
  <c r="AP80" i="1" s="1"/>
  <c r="AM80" i="1"/>
  <c r="BA73" i="1"/>
  <c r="BB73" i="1" s="1"/>
  <c r="AX74" i="1" s="1"/>
  <c r="AY74" i="1" s="1"/>
  <c r="AI82" i="1" l="1"/>
  <c r="AH82" i="1" s="1"/>
  <c r="AM81" i="1"/>
  <c r="AT81" i="1"/>
  <c r="AU81" i="1" s="1"/>
  <c r="AV81" i="1" s="1"/>
  <c r="AN81" i="1"/>
  <c r="AO81" i="1" s="1"/>
  <c r="AP81" i="1" s="1"/>
  <c r="AQ81" i="1"/>
  <c r="AR81" i="1" s="1"/>
  <c r="AS81" i="1" s="1"/>
  <c r="AZ74" i="1"/>
  <c r="BA74" i="1" s="1"/>
  <c r="BB74" i="1" s="1"/>
  <c r="AX75" i="1" s="1"/>
  <c r="AZ75" i="1" s="1"/>
  <c r="AI83" i="1" l="1"/>
  <c r="AH83" i="1" s="1"/>
  <c r="AN82" i="1"/>
  <c r="AO82" i="1" s="1"/>
  <c r="AP82" i="1" s="1"/>
  <c r="BI22" i="1" s="1"/>
  <c r="BL22" i="1" s="1"/>
  <c r="AM82" i="1"/>
  <c r="BH22" i="1" s="1"/>
  <c r="BK22" i="1" s="1"/>
  <c r="AQ82" i="1"/>
  <c r="AR82" i="1" s="1"/>
  <c r="AS82" i="1" s="1"/>
  <c r="BJ22" i="1" s="1"/>
  <c r="BM22" i="1" s="1"/>
  <c r="AT82" i="1"/>
  <c r="AU82" i="1" s="1"/>
  <c r="AV82" i="1" s="1"/>
  <c r="AY75" i="1"/>
  <c r="BA75" i="1" s="1"/>
  <c r="BB75" i="1" s="1"/>
  <c r="AX76" i="1" s="1"/>
  <c r="AZ76" i="1" s="1"/>
  <c r="AI84" i="1" l="1"/>
  <c r="AH84" i="1" s="1"/>
  <c r="AT83" i="1"/>
  <c r="AU83" i="1" s="1"/>
  <c r="AV83" i="1" s="1"/>
  <c r="AQ83" i="1"/>
  <c r="AR83" i="1" s="1"/>
  <c r="AS83" i="1" s="1"/>
  <c r="AM83" i="1"/>
  <c r="AN83" i="1"/>
  <c r="AO83" i="1" s="1"/>
  <c r="AP83" i="1" s="1"/>
  <c r="BN22" i="1"/>
  <c r="BO22" i="1"/>
  <c r="BP22" i="1"/>
  <c r="AY76" i="1"/>
  <c r="BA76" i="1" s="1"/>
  <c r="BB76" i="1" s="1"/>
  <c r="AX77" i="1" s="1"/>
  <c r="AY77" i="1" s="1"/>
  <c r="AI85" i="1" l="1"/>
  <c r="AH85" i="1" s="1"/>
  <c r="AN84" i="1"/>
  <c r="AO84" i="1" s="1"/>
  <c r="AP84" i="1" s="1"/>
  <c r="AM84" i="1"/>
  <c r="AT84" i="1"/>
  <c r="AU84" i="1" s="1"/>
  <c r="AV84" i="1" s="1"/>
  <c r="AQ84" i="1"/>
  <c r="AR84" i="1" s="1"/>
  <c r="AS84" i="1" s="1"/>
  <c r="AZ77" i="1"/>
  <c r="BA77" i="1" s="1"/>
  <c r="BB77" i="1" s="1"/>
  <c r="AX78" i="1" s="1"/>
  <c r="AY78" i="1" s="1"/>
  <c r="AI86" i="1" l="1"/>
  <c r="AH86" i="1" s="1"/>
  <c r="AN85" i="1"/>
  <c r="AO85" i="1" s="1"/>
  <c r="AP85" i="1" s="1"/>
  <c r="AQ85" i="1"/>
  <c r="AR85" i="1" s="1"/>
  <c r="AS85" i="1" s="1"/>
  <c r="AM85" i="1"/>
  <c r="AT85" i="1"/>
  <c r="AU85" i="1" s="1"/>
  <c r="AV85" i="1" s="1"/>
  <c r="AZ78" i="1"/>
  <c r="BA78" i="1" s="1"/>
  <c r="BB78" i="1" s="1"/>
  <c r="AX79" i="1" s="1"/>
  <c r="AZ79" i="1" s="1"/>
  <c r="AI87" i="1" l="1"/>
  <c r="AH87" i="1" s="1"/>
  <c r="AT86" i="1"/>
  <c r="AU86" i="1" s="1"/>
  <c r="AV86" i="1" s="1"/>
  <c r="AM86" i="1"/>
  <c r="AQ86" i="1"/>
  <c r="AR86" i="1" s="1"/>
  <c r="AS86" i="1" s="1"/>
  <c r="AN86" i="1"/>
  <c r="AO86" i="1" s="1"/>
  <c r="AP86" i="1" s="1"/>
  <c r="AY79" i="1"/>
  <c r="BA79" i="1" s="1"/>
  <c r="BB79" i="1" s="1"/>
  <c r="AX80" i="1" s="1"/>
  <c r="AZ80" i="1" s="1"/>
  <c r="AI88" i="1" l="1"/>
  <c r="AH88" i="1" s="1"/>
  <c r="AQ87" i="1"/>
  <c r="AR87" i="1" s="1"/>
  <c r="AS87" i="1" s="1"/>
  <c r="BJ23" i="1" s="1"/>
  <c r="BM23" i="1" s="1"/>
  <c r="AT87" i="1"/>
  <c r="AU87" i="1" s="1"/>
  <c r="AV87" i="1" s="1"/>
  <c r="AM87" i="1"/>
  <c r="BH23" i="1" s="1"/>
  <c r="BK23" i="1" s="1"/>
  <c r="AN87" i="1"/>
  <c r="AO87" i="1" s="1"/>
  <c r="AP87" i="1" s="1"/>
  <c r="BI23" i="1" s="1"/>
  <c r="BL23" i="1" s="1"/>
  <c r="AY80" i="1"/>
  <c r="BA80" i="1" s="1"/>
  <c r="BB80" i="1" s="1"/>
  <c r="AX81" i="1" s="1"/>
  <c r="AZ81" i="1" s="1"/>
  <c r="BN23" i="1" l="1"/>
  <c r="AI89" i="1"/>
  <c r="AH89" i="1" s="1"/>
  <c r="AM88" i="1"/>
  <c r="AT88" i="1"/>
  <c r="AU88" i="1" s="1"/>
  <c r="AV88" i="1" s="1"/>
  <c r="AN88" i="1"/>
  <c r="AO88" i="1" s="1"/>
  <c r="AP88" i="1" s="1"/>
  <c r="AQ88" i="1"/>
  <c r="AR88" i="1" s="1"/>
  <c r="AS88" i="1" s="1"/>
  <c r="BO23" i="1"/>
  <c r="BP23" i="1"/>
  <c r="AY81" i="1"/>
  <c r="BA81" i="1" s="1"/>
  <c r="BB81" i="1" s="1"/>
  <c r="AX82" i="1" s="1"/>
  <c r="AZ82" i="1" s="1"/>
  <c r="AI90" i="1" l="1"/>
  <c r="AH90" i="1" s="1"/>
  <c r="AM89" i="1"/>
  <c r="AN89" i="1"/>
  <c r="AO89" i="1" s="1"/>
  <c r="AP89" i="1" s="1"/>
  <c r="AQ89" i="1"/>
  <c r="AR89" i="1" s="1"/>
  <c r="AS89" i="1" s="1"/>
  <c r="AT89" i="1"/>
  <c r="AU89" i="1" s="1"/>
  <c r="AV89" i="1" s="1"/>
  <c r="AY82" i="1"/>
  <c r="BA82" i="1" s="1"/>
  <c r="BB82" i="1" s="1"/>
  <c r="AX83" i="1" s="1"/>
  <c r="AZ83" i="1" s="1"/>
  <c r="AI91" i="1" l="1"/>
  <c r="AH91" i="1" s="1"/>
  <c r="AQ90" i="1"/>
  <c r="AR90" i="1" s="1"/>
  <c r="AS90" i="1" s="1"/>
  <c r="AM90" i="1"/>
  <c r="AT90" i="1"/>
  <c r="AU90" i="1" s="1"/>
  <c r="AV90" i="1" s="1"/>
  <c r="AN90" i="1"/>
  <c r="AO90" i="1" s="1"/>
  <c r="AP90" i="1" s="1"/>
  <c r="AY83" i="1"/>
  <c r="BA83" i="1" s="1"/>
  <c r="BB83" i="1" s="1"/>
  <c r="AX84" i="1" s="1"/>
  <c r="AZ84" i="1" s="1"/>
  <c r="AI92" i="1" l="1"/>
  <c r="AH92" i="1" s="1"/>
  <c r="AN91" i="1"/>
  <c r="AO91" i="1" s="1"/>
  <c r="AP91" i="1" s="1"/>
  <c r="AM91" i="1"/>
  <c r="AT91" i="1"/>
  <c r="AU91" i="1" s="1"/>
  <c r="AV91" i="1" s="1"/>
  <c r="AQ91" i="1"/>
  <c r="AR91" i="1" s="1"/>
  <c r="AS91" i="1" s="1"/>
  <c r="AY84" i="1"/>
  <c r="BA84" i="1" s="1"/>
  <c r="BB84" i="1" s="1"/>
  <c r="AX85" i="1" s="1"/>
  <c r="AY85" i="1" s="1"/>
  <c r="AI93" i="1" l="1"/>
  <c r="AH93" i="1" s="1"/>
  <c r="AM92" i="1"/>
  <c r="BH24" i="1" s="1"/>
  <c r="BK24" i="1" s="1"/>
  <c r="AT92" i="1"/>
  <c r="AU92" i="1" s="1"/>
  <c r="AV92" i="1" s="1"/>
  <c r="AN92" i="1"/>
  <c r="AO92" i="1" s="1"/>
  <c r="AP92" i="1" s="1"/>
  <c r="BI24" i="1" s="1"/>
  <c r="BL24" i="1" s="1"/>
  <c r="AQ92" i="1"/>
  <c r="AR92" i="1" s="1"/>
  <c r="AS92" i="1" s="1"/>
  <c r="BJ24" i="1" s="1"/>
  <c r="BM24" i="1" s="1"/>
  <c r="AZ85" i="1"/>
  <c r="BA85" i="1" s="1"/>
  <c r="BB85" i="1" s="1"/>
  <c r="AX86" i="1" s="1"/>
  <c r="AY86" i="1" s="1"/>
  <c r="BN24" i="1" l="1"/>
  <c r="AI94" i="1"/>
  <c r="AH94" i="1" s="1"/>
  <c r="AN93" i="1"/>
  <c r="AO93" i="1" s="1"/>
  <c r="AP93" i="1" s="1"/>
  <c r="AT93" i="1"/>
  <c r="AU93" i="1" s="1"/>
  <c r="AV93" i="1" s="1"/>
  <c r="AQ93" i="1"/>
  <c r="AR93" i="1" s="1"/>
  <c r="AS93" i="1" s="1"/>
  <c r="AM93" i="1"/>
  <c r="BP24" i="1"/>
  <c r="BO24" i="1"/>
  <c r="AZ86" i="1"/>
  <c r="BA86" i="1" s="1"/>
  <c r="BB86" i="1" s="1"/>
  <c r="AX87" i="1" s="1"/>
  <c r="AY87" i="1" s="1"/>
  <c r="AI95" i="1" l="1"/>
  <c r="AH95" i="1" s="1"/>
  <c r="AN94" i="1"/>
  <c r="AO94" i="1" s="1"/>
  <c r="AP94" i="1" s="1"/>
  <c r="AQ94" i="1"/>
  <c r="AR94" i="1" s="1"/>
  <c r="AS94" i="1" s="1"/>
  <c r="AM94" i="1"/>
  <c r="AT94" i="1"/>
  <c r="AU94" i="1" s="1"/>
  <c r="AV94" i="1" s="1"/>
  <c r="AZ87" i="1"/>
  <c r="BA87" i="1" s="1"/>
  <c r="BB87" i="1" s="1"/>
  <c r="AX88" i="1" s="1"/>
  <c r="AI96" i="1" l="1"/>
  <c r="AH96" i="1" s="1"/>
  <c r="AT95" i="1"/>
  <c r="AU95" i="1" s="1"/>
  <c r="AV95" i="1" s="1"/>
  <c r="AN95" i="1"/>
  <c r="AO95" i="1" s="1"/>
  <c r="AP95" i="1" s="1"/>
  <c r="AQ95" i="1"/>
  <c r="AR95" i="1" s="1"/>
  <c r="AS95" i="1" s="1"/>
  <c r="AM95" i="1"/>
  <c r="AZ88" i="1"/>
  <c r="AY88" i="1"/>
  <c r="AI97" i="1" l="1"/>
  <c r="AH97" i="1" s="1"/>
  <c r="AQ96" i="1"/>
  <c r="AR96" i="1" s="1"/>
  <c r="AS96" i="1" s="1"/>
  <c r="AT96" i="1"/>
  <c r="AU96" i="1" s="1"/>
  <c r="AV96" i="1" s="1"/>
  <c r="AM96" i="1"/>
  <c r="AN96" i="1"/>
  <c r="AO96" i="1" s="1"/>
  <c r="AP96" i="1" s="1"/>
  <c r="BA88" i="1"/>
  <c r="BB88" i="1" s="1"/>
  <c r="AX89" i="1" s="1"/>
  <c r="AY89" i="1" s="1"/>
  <c r="AI98" i="1" l="1"/>
  <c r="AH98" i="1" s="1"/>
  <c r="AT97" i="1"/>
  <c r="AU97" i="1" s="1"/>
  <c r="AV97" i="1" s="1"/>
  <c r="AM97" i="1"/>
  <c r="BH25" i="1" s="1"/>
  <c r="BK25" i="1" s="1"/>
  <c r="AQ97" i="1"/>
  <c r="AR97" i="1" s="1"/>
  <c r="AS97" i="1" s="1"/>
  <c r="BJ25" i="1" s="1"/>
  <c r="BM25" i="1" s="1"/>
  <c r="AN97" i="1"/>
  <c r="AO97" i="1" s="1"/>
  <c r="AP97" i="1" s="1"/>
  <c r="BI25" i="1" s="1"/>
  <c r="BL25" i="1" s="1"/>
  <c r="AZ89" i="1"/>
  <c r="BA89" i="1" s="1"/>
  <c r="BB89" i="1" s="1"/>
  <c r="AX90" i="1" s="1"/>
  <c r="AY90" i="1" s="1"/>
  <c r="BN25" i="1"/>
  <c r="AI99" i="1" l="1"/>
  <c r="AH99" i="1" s="1"/>
  <c r="AT98" i="1"/>
  <c r="AU98" i="1" s="1"/>
  <c r="AV98" i="1" s="1"/>
  <c r="AM98" i="1"/>
  <c r="AN98" i="1"/>
  <c r="AO98" i="1" s="1"/>
  <c r="AP98" i="1" s="1"/>
  <c r="AQ98" i="1"/>
  <c r="AR98" i="1" s="1"/>
  <c r="AS98" i="1" s="1"/>
  <c r="BO25" i="1"/>
  <c r="BP25" i="1"/>
  <c r="AZ90" i="1"/>
  <c r="BA90" i="1" s="1"/>
  <c r="BB90" i="1" s="1"/>
  <c r="AX91" i="1" s="1"/>
  <c r="AI100" i="1" l="1"/>
  <c r="AH100" i="1" s="1"/>
  <c r="AM99" i="1"/>
  <c r="AQ99" i="1"/>
  <c r="AR99" i="1" s="1"/>
  <c r="AS99" i="1" s="1"/>
  <c r="AN99" i="1"/>
  <c r="AO99" i="1" s="1"/>
  <c r="AP99" i="1" s="1"/>
  <c r="AT99" i="1"/>
  <c r="AU99" i="1" s="1"/>
  <c r="AV99" i="1" s="1"/>
  <c r="AZ91" i="1"/>
  <c r="AY91" i="1"/>
  <c r="AI101" i="1" l="1"/>
  <c r="AH101" i="1" s="1"/>
  <c r="AT100" i="1"/>
  <c r="AU100" i="1" s="1"/>
  <c r="AV100" i="1" s="1"/>
  <c r="AN100" i="1"/>
  <c r="AO100" i="1" s="1"/>
  <c r="AP100" i="1" s="1"/>
  <c r="AM100" i="1"/>
  <c r="AQ100" i="1"/>
  <c r="AR100" i="1" s="1"/>
  <c r="AS100" i="1" s="1"/>
  <c r="BA91" i="1"/>
  <c r="BB91" i="1" s="1"/>
  <c r="AX92" i="1" s="1"/>
  <c r="AY92" i="1" s="1"/>
  <c r="AI102" i="1" l="1"/>
  <c r="AH102" i="1" s="1"/>
  <c r="AN101" i="1"/>
  <c r="AO101" i="1" s="1"/>
  <c r="AP101" i="1" s="1"/>
  <c r="AM101" i="1"/>
  <c r="AT101" i="1"/>
  <c r="AU101" i="1" s="1"/>
  <c r="AV101" i="1" s="1"/>
  <c r="AQ101" i="1"/>
  <c r="AR101" i="1" s="1"/>
  <c r="AS101" i="1" s="1"/>
  <c r="AZ92" i="1"/>
  <c r="BA92" i="1" s="1"/>
  <c r="BB92" i="1" s="1"/>
  <c r="AX93" i="1" s="1"/>
  <c r="AI103" i="1" l="1"/>
  <c r="AH103" i="1" s="1"/>
  <c r="AQ102" i="1"/>
  <c r="AR102" i="1" s="1"/>
  <c r="AS102" i="1" s="1"/>
  <c r="BJ26" i="1" s="1"/>
  <c r="BM26" i="1" s="1"/>
  <c r="AM102" i="1"/>
  <c r="BH26" i="1" s="1"/>
  <c r="BK26" i="1" s="1"/>
  <c r="AT102" i="1"/>
  <c r="AU102" i="1" s="1"/>
  <c r="AV102" i="1" s="1"/>
  <c r="AN102" i="1"/>
  <c r="AO102" i="1" s="1"/>
  <c r="AP102" i="1" s="1"/>
  <c r="BI26" i="1" s="1"/>
  <c r="BL26" i="1" s="1"/>
  <c r="AY93" i="1"/>
  <c r="AZ93" i="1"/>
  <c r="AI104" i="1" l="1"/>
  <c r="AH104" i="1" s="1"/>
  <c r="AN103" i="1"/>
  <c r="AO103" i="1" s="1"/>
  <c r="AP103" i="1" s="1"/>
  <c r="AT103" i="1"/>
  <c r="AU103" i="1" s="1"/>
  <c r="AV103" i="1" s="1"/>
  <c r="AM103" i="1"/>
  <c r="AQ103" i="1"/>
  <c r="AR103" i="1" s="1"/>
  <c r="AS103" i="1" s="1"/>
  <c r="BN26" i="1"/>
  <c r="BP26" i="1"/>
  <c r="BO26" i="1"/>
  <c r="BA93" i="1"/>
  <c r="BB93" i="1" s="1"/>
  <c r="AX94" i="1" s="1"/>
  <c r="AI105" i="1" l="1"/>
  <c r="AH105" i="1" s="1"/>
  <c r="AT104" i="1"/>
  <c r="AU104" i="1" s="1"/>
  <c r="AV104" i="1" s="1"/>
  <c r="AM104" i="1"/>
  <c r="AN104" i="1"/>
  <c r="AO104" i="1" s="1"/>
  <c r="AP104" i="1" s="1"/>
  <c r="AQ104" i="1"/>
  <c r="AR104" i="1" s="1"/>
  <c r="AS104" i="1" s="1"/>
  <c r="AZ94" i="1"/>
  <c r="AY94" i="1"/>
  <c r="AI106" i="1" l="1"/>
  <c r="AH106" i="1" s="1"/>
  <c r="AM105" i="1"/>
  <c r="AT105" i="1"/>
  <c r="AU105" i="1" s="1"/>
  <c r="AV105" i="1" s="1"/>
  <c r="AQ105" i="1"/>
  <c r="AR105" i="1" s="1"/>
  <c r="AS105" i="1" s="1"/>
  <c r="AN105" i="1"/>
  <c r="AO105" i="1" s="1"/>
  <c r="AP105" i="1" s="1"/>
  <c r="BA94" i="1"/>
  <c r="BB94" i="1" s="1"/>
  <c r="AX95" i="1" s="1"/>
  <c r="AZ95" i="1" s="1"/>
  <c r="AI107" i="1" l="1"/>
  <c r="AH107" i="1" s="1"/>
  <c r="AT106" i="1"/>
  <c r="AU106" i="1" s="1"/>
  <c r="AV106" i="1" s="1"/>
  <c r="AM106" i="1"/>
  <c r="AN106" i="1"/>
  <c r="AO106" i="1" s="1"/>
  <c r="AP106" i="1" s="1"/>
  <c r="AQ106" i="1"/>
  <c r="AR106" i="1" s="1"/>
  <c r="AS106" i="1" s="1"/>
  <c r="AY95" i="1"/>
  <c r="BA95" i="1" s="1"/>
  <c r="BB95" i="1" s="1"/>
  <c r="AX96" i="1" s="1"/>
  <c r="AY96" i="1" s="1"/>
  <c r="AI108" i="1" l="1"/>
  <c r="AH108" i="1" s="1"/>
  <c r="AM107" i="1"/>
  <c r="BH27" i="1" s="1"/>
  <c r="BK27" i="1" s="1"/>
  <c r="AN107" i="1"/>
  <c r="AO107" i="1" s="1"/>
  <c r="AP107" i="1" s="1"/>
  <c r="BI27" i="1" s="1"/>
  <c r="BL27" i="1" s="1"/>
  <c r="AT107" i="1"/>
  <c r="AU107" i="1" s="1"/>
  <c r="AV107" i="1" s="1"/>
  <c r="AQ107" i="1"/>
  <c r="AR107" i="1" s="1"/>
  <c r="AS107" i="1" s="1"/>
  <c r="BJ27" i="1" s="1"/>
  <c r="BM27" i="1" s="1"/>
  <c r="AZ96" i="1"/>
  <c r="BA96" i="1" s="1"/>
  <c r="BB96" i="1" s="1"/>
  <c r="AX97" i="1" s="1"/>
  <c r="BN27" i="1" l="1"/>
  <c r="AI109" i="1"/>
  <c r="AH109" i="1" s="1"/>
  <c r="AN108" i="1"/>
  <c r="AO108" i="1" s="1"/>
  <c r="AP108" i="1" s="1"/>
  <c r="AQ108" i="1"/>
  <c r="AR108" i="1" s="1"/>
  <c r="AS108" i="1" s="1"/>
  <c r="AT108" i="1"/>
  <c r="AU108" i="1" s="1"/>
  <c r="AV108" i="1" s="1"/>
  <c r="AM108" i="1"/>
  <c r="BP27" i="1"/>
  <c r="BO27" i="1"/>
  <c r="AY97" i="1"/>
  <c r="AZ97" i="1"/>
  <c r="AI110" i="1" l="1"/>
  <c r="AH110" i="1" s="1"/>
  <c r="AT109" i="1"/>
  <c r="AU109" i="1" s="1"/>
  <c r="AV109" i="1" s="1"/>
  <c r="AM109" i="1"/>
  <c r="AN109" i="1"/>
  <c r="AO109" i="1" s="1"/>
  <c r="AP109" i="1" s="1"/>
  <c r="AQ109" i="1"/>
  <c r="AR109" i="1" s="1"/>
  <c r="AS109" i="1" s="1"/>
  <c r="BA97" i="1"/>
  <c r="BB97" i="1" s="1"/>
  <c r="AX98" i="1" s="1"/>
  <c r="AZ98" i="1" s="1"/>
  <c r="AI111" i="1" l="1"/>
  <c r="AH111" i="1" s="1"/>
  <c r="AM110" i="1"/>
  <c r="AN110" i="1"/>
  <c r="AO110" i="1" s="1"/>
  <c r="AP110" i="1" s="1"/>
  <c r="AQ110" i="1"/>
  <c r="AR110" i="1" s="1"/>
  <c r="AS110" i="1" s="1"/>
  <c r="AT110" i="1"/>
  <c r="AU110" i="1" s="1"/>
  <c r="AV110" i="1" s="1"/>
  <c r="AY98" i="1"/>
  <c r="BA98" i="1" s="1"/>
  <c r="BB98" i="1" s="1"/>
  <c r="AX99" i="1" s="1"/>
  <c r="AY99" i="1" s="1"/>
  <c r="AI112" i="1" l="1"/>
  <c r="AH112" i="1" s="1"/>
  <c r="AM111" i="1"/>
  <c r="AQ111" i="1"/>
  <c r="AR111" i="1" s="1"/>
  <c r="AS111" i="1" s="1"/>
  <c r="AT111" i="1"/>
  <c r="AU111" i="1" s="1"/>
  <c r="AV111" i="1" s="1"/>
  <c r="AN111" i="1"/>
  <c r="AO111" i="1" s="1"/>
  <c r="AP111" i="1" s="1"/>
  <c r="AZ99" i="1"/>
  <c r="BA99" i="1" s="1"/>
  <c r="BB99" i="1" s="1"/>
  <c r="AX100" i="1" s="1"/>
  <c r="AI113" i="1" l="1"/>
  <c r="AH113" i="1" s="1"/>
  <c r="AT112" i="1"/>
  <c r="AU112" i="1" s="1"/>
  <c r="AV112" i="1" s="1"/>
  <c r="AN112" i="1"/>
  <c r="AO112" i="1" s="1"/>
  <c r="AP112" i="1" s="1"/>
  <c r="BI28" i="1" s="1"/>
  <c r="BL28" i="1" s="1"/>
  <c r="AQ112" i="1"/>
  <c r="AR112" i="1" s="1"/>
  <c r="AS112" i="1" s="1"/>
  <c r="BJ28" i="1" s="1"/>
  <c r="BM28" i="1" s="1"/>
  <c r="AM112" i="1"/>
  <c r="BH28" i="1" s="1"/>
  <c r="BK28" i="1" s="1"/>
  <c r="AZ100" i="1"/>
  <c r="AY100" i="1"/>
  <c r="BN28" i="1" l="1"/>
  <c r="AI114" i="1"/>
  <c r="AH114" i="1" s="1"/>
  <c r="AN113" i="1"/>
  <c r="AO113" i="1" s="1"/>
  <c r="AP113" i="1" s="1"/>
  <c r="AQ113" i="1"/>
  <c r="AR113" i="1" s="1"/>
  <c r="AS113" i="1" s="1"/>
  <c r="AT113" i="1"/>
  <c r="AU113" i="1" s="1"/>
  <c r="AV113" i="1" s="1"/>
  <c r="AM113" i="1"/>
  <c r="BO28" i="1"/>
  <c r="BP28" i="1"/>
  <c r="BA100" i="1"/>
  <c r="BB100" i="1" s="1"/>
  <c r="AX101" i="1" s="1"/>
  <c r="AY101" i="1" s="1"/>
  <c r="AI115" i="1" l="1"/>
  <c r="AH115" i="1" s="1"/>
  <c r="AN114" i="1"/>
  <c r="AO114" i="1" s="1"/>
  <c r="AP114" i="1" s="1"/>
  <c r="AM114" i="1"/>
  <c r="AT114" i="1"/>
  <c r="AU114" i="1" s="1"/>
  <c r="AV114" i="1" s="1"/>
  <c r="AQ114" i="1"/>
  <c r="AR114" i="1" s="1"/>
  <c r="AS114" i="1" s="1"/>
  <c r="AZ101" i="1"/>
  <c r="BA101" i="1" s="1"/>
  <c r="BB101" i="1" s="1"/>
  <c r="AX102" i="1" s="1"/>
  <c r="AI116" i="1" l="1"/>
  <c r="AH116" i="1" s="1"/>
  <c r="AQ115" i="1"/>
  <c r="AR115" i="1" s="1"/>
  <c r="AS115" i="1" s="1"/>
  <c r="AN115" i="1"/>
  <c r="AO115" i="1" s="1"/>
  <c r="AP115" i="1" s="1"/>
  <c r="AM115" i="1"/>
  <c r="AT115" i="1"/>
  <c r="AU115" i="1" s="1"/>
  <c r="AV115" i="1" s="1"/>
  <c r="AZ102" i="1"/>
  <c r="AY102" i="1"/>
  <c r="AI117" i="1" l="1"/>
  <c r="AH117" i="1" s="1"/>
  <c r="AM116" i="1"/>
  <c r="AN116" i="1"/>
  <c r="AO116" i="1" s="1"/>
  <c r="AP116" i="1" s="1"/>
  <c r="AT116" i="1"/>
  <c r="AU116" i="1" s="1"/>
  <c r="AV116" i="1" s="1"/>
  <c r="AQ116" i="1"/>
  <c r="AR116" i="1" s="1"/>
  <c r="AS116" i="1" s="1"/>
  <c r="BA102" i="1"/>
  <c r="BB102" i="1" s="1"/>
  <c r="AX103" i="1" s="1"/>
  <c r="AY103" i="1" s="1"/>
  <c r="AI118" i="1" l="1"/>
  <c r="AH118" i="1" s="1"/>
  <c r="AT117" i="1"/>
  <c r="AU117" i="1" s="1"/>
  <c r="AV117" i="1" s="1"/>
  <c r="AM117" i="1"/>
  <c r="BH29" i="1" s="1"/>
  <c r="BK29" i="1" s="1"/>
  <c r="AQ117" i="1"/>
  <c r="AR117" i="1" s="1"/>
  <c r="AS117" i="1" s="1"/>
  <c r="BJ29" i="1" s="1"/>
  <c r="BM29" i="1" s="1"/>
  <c r="AN117" i="1"/>
  <c r="AO117" i="1" s="1"/>
  <c r="AP117" i="1" s="1"/>
  <c r="AZ103" i="1"/>
  <c r="BA103" i="1" s="1"/>
  <c r="BB103" i="1" s="1"/>
  <c r="AX104" i="1" s="1"/>
  <c r="BN29" i="1"/>
  <c r="BI29" i="1" l="1"/>
  <c r="BL29" i="1" s="1"/>
  <c r="BO29" i="1"/>
  <c r="AI119" i="1"/>
  <c r="AH119" i="1" s="1"/>
  <c r="AM118" i="1"/>
  <c r="AN118" i="1"/>
  <c r="AO118" i="1" s="1"/>
  <c r="AP118" i="1" s="1"/>
  <c r="AT118" i="1"/>
  <c r="AU118" i="1" s="1"/>
  <c r="AV118" i="1" s="1"/>
  <c r="AQ118" i="1"/>
  <c r="AR118" i="1" s="1"/>
  <c r="AS118" i="1" s="1"/>
  <c r="BP29" i="1"/>
  <c r="AZ104" i="1"/>
  <c r="AY104" i="1"/>
  <c r="AI120" i="1" l="1"/>
  <c r="AH120" i="1" s="1"/>
  <c r="AN119" i="1"/>
  <c r="AO119" i="1" s="1"/>
  <c r="AP119" i="1" s="1"/>
  <c r="AT119" i="1"/>
  <c r="AU119" i="1" s="1"/>
  <c r="AV119" i="1" s="1"/>
  <c r="AM119" i="1"/>
  <c r="AQ119" i="1"/>
  <c r="AR119" i="1" s="1"/>
  <c r="AS119" i="1" s="1"/>
  <c r="BA104" i="1"/>
  <c r="BB104" i="1" s="1"/>
  <c r="AX105" i="1" s="1"/>
  <c r="AY105" i="1" s="1"/>
  <c r="AI121" i="1" l="1"/>
  <c r="AH121" i="1" s="1"/>
  <c r="AN120" i="1"/>
  <c r="AO120" i="1" s="1"/>
  <c r="AP120" i="1" s="1"/>
  <c r="AQ120" i="1"/>
  <c r="AR120" i="1" s="1"/>
  <c r="AS120" i="1" s="1"/>
  <c r="AM120" i="1"/>
  <c r="AT120" i="1"/>
  <c r="AU120" i="1" s="1"/>
  <c r="AV120" i="1" s="1"/>
  <c r="AZ105" i="1"/>
  <c r="BA105" i="1" s="1"/>
  <c r="BB105" i="1" s="1"/>
  <c r="AX106" i="1" s="1"/>
  <c r="AI122" i="1" l="1"/>
  <c r="AH122" i="1" s="1"/>
  <c r="AQ121" i="1"/>
  <c r="AR121" i="1" s="1"/>
  <c r="AS121" i="1" s="1"/>
  <c r="AT121" i="1"/>
  <c r="AU121" i="1" s="1"/>
  <c r="AV121" i="1" s="1"/>
  <c r="AN121" i="1"/>
  <c r="AO121" i="1" s="1"/>
  <c r="AP121" i="1" s="1"/>
  <c r="AM121" i="1"/>
  <c r="AZ106" i="1"/>
  <c r="AY106" i="1"/>
  <c r="AI123" i="1" l="1"/>
  <c r="AH123" i="1" s="1"/>
  <c r="AM122" i="1"/>
  <c r="BH30" i="1" s="1"/>
  <c r="BK30" i="1" s="1"/>
  <c r="AN122" i="1"/>
  <c r="AO122" i="1" s="1"/>
  <c r="AP122" i="1" s="1"/>
  <c r="BI30" i="1" s="1"/>
  <c r="BL30" i="1" s="1"/>
  <c r="AQ122" i="1"/>
  <c r="AR122" i="1" s="1"/>
  <c r="AS122" i="1" s="1"/>
  <c r="BJ30" i="1" s="1"/>
  <c r="BM30" i="1" s="1"/>
  <c r="AT122" i="1"/>
  <c r="AU122" i="1" s="1"/>
  <c r="AV122" i="1" s="1"/>
  <c r="BA106" i="1"/>
  <c r="BB106" i="1" s="1"/>
  <c r="AX107" i="1" s="1"/>
  <c r="AY107" i="1" s="1"/>
  <c r="BN30" i="1" l="1"/>
  <c r="AI124" i="1"/>
  <c r="AH124" i="1" s="1"/>
  <c r="AM123" i="1"/>
  <c r="AN123" i="1"/>
  <c r="AO123" i="1" s="1"/>
  <c r="AP123" i="1" s="1"/>
  <c r="AT123" i="1"/>
  <c r="AU123" i="1" s="1"/>
  <c r="AV123" i="1" s="1"/>
  <c r="AQ123" i="1"/>
  <c r="AR123" i="1" s="1"/>
  <c r="AS123" i="1" s="1"/>
  <c r="BO30" i="1"/>
  <c r="BP30" i="1"/>
  <c r="AZ107" i="1"/>
  <c r="BA107" i="1" s="1"/>
  <c r="BB107" i="1" s="1"/>
  <c r="AX108" i="1" s="1"/>
  <c r="AI125" i="1" l="1"/>
  <c r="AH125" i="1" s="1"/>
  <c r="AQ124" i="1"/>
  <c r="AR124" i="1" s="1"/>
  <c r="AS124" i="1" s="1"/>
  <c r="AM124" i="1"/>
  <c r="AT124" i="1"/>
  <c r="AU124" i="1" s="1"/>
  <c r="AV124" i="1" s="1"/>
  <c r="AN124" i="1"/>
  <c r="AO124" i="1" s="1"/>
  <c r="AP124" i="1" s="1"/>
  <c r="AY108" i="1"/>
  <c r="AZ108" i="1"/>
  <c r="AI126" i="1" l="1"/>
  <c r="AH126" i="1" s="1"/>
  <c r="AM125" i="1"/>
  <c r="AQ125" i="1"/>
  <c r="AR125" i="1" s="1"/>
  <c r="AS125" i="1" s="1"/>
  <c r="AT125" i="1"/>
  <c r="AU125" i="1" s="1"/>
  <c r="AV125" i="1" s="1"/>
  <c r="AN125" i="1"/>
  <c r="AO125" i="1" s="1"/>
  <c r="AP125" i="1" s="1"/>
  <c r="BA108" i="1"/>
  <c r="BB108" i="1" s="1"/>
  <c r="AX109" i="1" s="1"/>
  <c r="AZ109" i="1" s="1"/>
  <c r="AI127" i="1" l="1"/>
  <c r="AH127" i="1" s="1"/>
  <c r="AN126" i="1"/>
  <c r="AO126" i="1" s="1"/>
  <c r="AP126" i="1" s="1"/>
  <c r="AM126" i="1"/>
  <c r="AT126" i="1"/>
  <c r="AU126" i="1" s="1"/>
  <c r="AV126" i="1" s="1"/>
  <c r="AQ126" i="1"/>
  <c r="AR126" i="1" s="1"/>
  <c r="AS126" i="1" s="1"/>
  <c r="AY109" i="1"/>
  <c r="BA109" i="1" s="1"/>
  <c r="BB109" i="1" s="1"/>
  <c r="AX110" i="1" s="1"/>
  <c r="AY110" i="1" s="1"/>
  <c r="AI128" i="1" l="1"/>
  <c r="AH128" i="1" s="1"/>
  <c r="AQ127" i="1"/>
  <c r="AR127" i="1" s="1"/>
  <c r="AS127" i="1" s="1"/>
  <c r="BJ31" i="1" s="1"/>
  <c r="BM31" i="1" s="1"/>
  <c r="AM127" i="1"/>
  <c r="BH31" i="1" s="1"/>
  <c r="BK31" i="1" s="1"/>
  <c r="AN127" i="1"/>
  <c r="AO127" i="1" s="1"/>
  <c r="AP127" i="1" s="1"/>
  <c r="BI31" i="1" s="1"/>
  <c r="BL31" i="1" s="1"/>
  <c r="AT127" i="1"/>
  <c r="AU127" i="1" s="1"/>
  <c r="AV127" i="1" s="1"/>
  <c r="AZ110" i="1"/>
  <c r="BA110" i="1" s="1"/>
  <c r="BB110" i="1" s="1"/>
  <c r="AX111" i="1" s="1"/>
  <c r="BN31" i="1"/>
  <c r="AI129" i="1" l="1"/>
  <c r="AH129" i="1" s="1"/>
  <c r="AN128" i="1"/>
  <c r="AO128" i="1" s="1"/>
  <c r="AP128" i="1" s="1"/>
  <c r="AM128" i="1"/>
  <c r="AQ128" i="1"/>
  <c r="AR128" i="1" s="1"/>
  <c r="AS128" i="1" s="1"/>
  <c r="AT128" i="1"/>
  <c r="AU128" i="1" s="1"/>
  <c r="AV128" i="1" s="1"/>
  <c r="BP31" i="1"/>
  <c r="BO31" i="1"/>
  <c r="AY111" i="1"/>
  <c r="AZ111" i="1"/>
  <c r="AI130" i="1" l="1"/>
  <c r="AH130" i="1" s="1"/>
  <c r="AT129" i="1"/>
  <c r="AU129" i="1" s="1"/>
  <c r="AV129" i="1" s="1"/>
  <c r="AQ129" i="1"/>
  <c r="AR129" i="1" s="1"/>
  <c r="AS129" i="1" s="1"/>
  <c r="AN129" i="1"/>
  <c r="AO129" i="1" s="1"/>
  <c r="AP129" i="1" s="1"/>
  <c r="AM129" i="1"/>
  <c r="BA111" i="1"/>
  <c r="BB111" i="1" s="1"/>
  <c r="AX112" i="1" s="1"/>
  <c r="AY112" i="1" s="1"/>
  <c r="AI131" i="1" l="1"/>
  <c r="AH131" i="1" s="1"/>
  <c r="AQ130" i="1"/>
  <c r="AR130" i="1" s="1"/>
  <c r="AS130" i="1" s="1"/>
  <c r="AT130" i="1"/>
  <c r="AU130" i="1" s="1"/>
  <c r="AV130" i="1" s="1"/>
  <c r="AN130" i="1"/>
  <c r="AO130" i="1" s="1"/>
  <c r="AP130" i="1" s="1"/>
  <c r="AM130" i="1"/>
  <c r="AZ112" i="1"/>
  <c r="BA112" i="1" s="1"/>
  <c r="BB112" i="1" s="1"/>
  <c r="AX113" i="1" s="1"/>
  <c r="AY113" i="1" s="1"/>
  <c r="AI132" i="1" l="1"/>
  <c r="AH132" i="1" s="1"/>
  <c r="AN131" i="1"/>
  <c r="AO131" i="1" s="1"/>
  <c r="AP131" i="1" s="1"/>
  <c r="AT131" i="1"/>
  <c r="AU131" i="1" s="1"/>
  <c r="AV131" i="1" s="1"/>
  <c r="AM131" i="1"/>
  <c r="AQ131" i="1"/>
  <c r="AR131" i="1" s="1"/>
  <c r="AS131" i="1" s="1"/>
  <c r="AZ113" i="1"/>
  <c r="BA113" i="1" s="1"/>
  <c r="BB113" i="1" s="1"/>
  <c r="AX114" i="1" s="1"/>
  <c r="AI133" i="1" l="1"/>
  <c r="AH133" i="1" s="1"/>
  <c r="AQ132" i="1"/>
  <c r="AR132" i="1" s="1"/>
  <c r="AS132" i="1" s="1"/>
  <c r="BJ32" i="1" s="1"/>
  <c r="BM32" i="1" s="1"/>
  <c r="AM132" i="1"/>
  <c r="BH32" i="1" s="1"/>
  <c r="BK32" i="1" s="1"/>
  <c r="AT132" i="1"/>
  <c r="AU132" i="1" s="1"/>
  <c r="AV132" i="1" s="1"/>
  <c r="AN132" i="1"/>
  <c r="AO132" i="1" s="1"/>
  <c r="AP132" i="1" s="1"/>
  <c r="BI32" i="1" s="1"/>
  <c r="BL32" i="1" s="1"/>
  <c r="AY114" i="1"/>
  <c r="AZ114" i="1"/>
  <c r="AI134" i="1" l="1"/>
  <c r="AH134" i="1" s="1"/>
  <c r="AT133" i="1"/>
  <c r="AU133" i="1" s="1"/>
  <c r="AV133" i="1" s="1"/>
  <c r="AM133" i="1"/>
  <c r="AQ133" i="1"/>
  <c r="AR133" i="1" s="1"/>
  <c r="AS133" i="1" s="1"/>
  <c r="AN133" i="1"/>
  <c r="AO133" i="1" s="1"/>
  <c r="AP133" i="1" s="1"/>
  <c r="BN32" i="1"/>
  <c r="BP32" i="1"/>
  <c r="BO32" i="1"/>
  <c r="BA114" i="1"/>
  <c r="BB114" i="1" s="1"/>
  <c r="AX115" i="1" s="1"/>
  <c r="AZ115" i="1" s="1"/>
  <c r="AI135" i="1" l="1"/>
  <c r="AH135" i="1" s="1"/>
  <c r="AN134" i="1"/>
  <c r="AO134" i="1" s="1"/>
  <c r="AP134" i="1" s="1"/>
  <c r="AM134" i="1"/>
  <c r="AQ134" i="1"/>
  <c r="AR134" i="1" s="1"/>
  <c r="AS134" i="1" s="1"/>
  <c r="AT134" i="1"/>
  <c r="AU134" i="1" s="1"/>
  <c r="AV134" i="1" s="1"/>
  <c r="AY115" i="1"/>
  <c r="BA115" i="1" s="1"/>
  <c r="BB115" i="1" s="1"/>
  <c r="AX116" i="1" s="1"/>
  <c r="AZ116" i="1" s="1"/>
  <c r="AI136" i="1" l="1"/>
  <c r="AH136" i="1" s="1"/>
  <c r="AM135" i="1"/>
  <c r="AQ135" i="1"/>
  <c r="AR135" i="1" s="1"/>
  <c r="AS135" i="1" s="1"/>
  <c r="AT135" i="1"/>
  <c r="AU135" i="1" s="1"/>
  <c r="AV135" i="1" s="1"/>
  <c r="AN135" i="1"/>
  <c r="AO135" i="1" s="1"/>
  <c r="AP135" i="1" s="1"/>
  <c r="AY116" i="1"/>
  <c r="BA116" i="1" s="1"/>
  <c r="BB116" i="1" s="1"/>
  <c r="AX117" i="1" s="1"/>
  <c r="AZ117" i="1" s="1"/>
  <c r="AI137" i="1" l="1"/>
  <c r="AH137" i="1" s="1"/>
  <c r="AQ136" i="1"/>
  <c r="AR136" i="1" s="1"/>
  <c r="AS136" i="1" s="1"/>
  <c r="AM136" i="1"/>
  <c r="AT136" i="1"/>
  <c r="AU136" i="1" s="1"/>
  <c r="AV136" i="1" s="1"/>
  <c r="AN136" i="1"/>
  <c r="AO136" i="1" s="1"/>
  <c r="AP136" i="1" s="1"/>
  <c r="AY117" i="1"/>
  <c r="BA117" i="1" s="1"/>
  <c r="BB117" i="1" s="1"/>
  <c r="AX118" i="1" s="1"/>
  <c r="AY118" i="1" s="1"/>
  <c r="AI138" i="1" l="1"/>
  <c r="AH138" i="1" s="1"/>
  <c r="AN137" i="1"/>
  <c r="AO137" i="1" s="1"/>
  <c r="AP137" i="1" s="1"/>
  <c r="BI33" i="1" s="1"/>
  <c r="BL33" i="1" s="1"/>
  <c r="AT137" i="1"/>
  <c r="AU137" i="1" s="1"/>
  <c r="AV137" i="1" s="1"/>
  <c r="AQ137" i="1"/>
  <c r="AR137" i="1" s="1"/>
  <c r="AS137" i="1" s="1"/>
  <c r="BJ33" i="1" s="1"/>
  <c r="BM33" i="1" s="1"/>
  <c r="AM137" i="1"/>
  <c r="BH33" i="1" s="1"/>
  <c r="BK33" i="1" s="1"/>
  <c r="AZ118" i="1"/>
  <c r="BA118" i="1" s="1"/>
  <c r="BB118" i="1" s="1"/>
  <c r="AX119" i="1" s="1"/>
  <c r="AY119" i="1" s="1"/>
  <c r="BN33" i="1" l="1"/>
  <c r="AI139" i="1"/>
  <c r="AH139" i="1" s="1"/>
  <c r="AQ138" i="1"/>
  <c r="AR138" i="1" s="1"/>
  <c r="AS138" i="1" s="1"/>
  <c r="AM138" i="1"/>
  <c r="AN138" i="1"/>
  <c r="AO138" i="1" s="1"/>
  <c r="AP138" i="1" s="1"/>
  <c r="AT138" i="1"/>
  <c r="AU138" i="1" s="1"/>
  <c r="AV138" i="1" s="1"/>
  <c r="BO33" i="1"/>
  <c r="BP33" i="1"/>
  <c r="AZ119" i="1"/>
  <c r="BA119" i="1" s="1"/>
  <c r="BB119" i="1" s="1"/>
  <c r="AX120" i="1" s="1"/>
  <c r="AI140" i="1" l="1"/>
  <c r="AH140" i="1" s="1"/>
  <c r="AT139" i="1"/>
  <c r="AU139" i="1" s="1"/>
  <c r="AV139" i="1" s="1"/>
  <c r="AN139" i="1"/>
  <c r="AO139" i="1" s="1"/>
  <c r="AP139" i="1" s="1"/>
  <c r="AM139" i="1"/>
  <c r="AQ139" i="1"/>
  <c r="AR139" i="1" s="1"/>
  <c r="AS139" i="1" s="1"/>
  <c r="AY120" i="1"/>
  <c r="AZ120" i="1"/>
  <c r="AI141" i="1" l="1"/>
  <c r="AH141" i="1" s="1"/>
  <c r="AT140" i="1"/>
  <c r="AU140" i="1" s="1"/>
  <c r="AV140" i="1" s="1"/>
  <c r="AQ140" i="1"/>
  <c r="AR140" i="1" s="1"/>
  <c r="AS140" i="1" s="1"/>
  <c r="AN140" i="1"/>
  <c r="AO140" i="1" s="1"/>
  <c r="AP140" i="1" s="1"/>
  <c r="AM140" i="1"/>
  <c r="BA120" i="1"/>
  <c r="BB120" i="1" s="1"/>
  <c r="AX121" i="1" s="1"/>
  <c r="AZ121" i="1" s="1"/>
  <c r="AI142" i="1" l="1"/>
  <c r="AH142" i="1" s="1"/>
  <c r="AQ141" i="1"/>
  <c r="AR141" i="1" s="1"/>
  <c r="AS141" i="1" s="1"/>
  <c r="AN141" i="1"/>
  <c r="AO141" i="1" s="1"/>
  <c r="AP141" i="1" s="1"/>
  <c r="AM141" i="1"/>
  <c r="AT141" i="1"/>
  <c r="AU141" i="1" s="1"/>
  <c r="AV141" i="1" s="1"/>
  <c r="AY121" i="1"/>
  <c r="BA121" i="1" s="1"/>
  <c r="BB121" i="1" s="1"/>
  <c r="AX122" i="1" s="1"/>
  <c r="AY122" i="1" s="1"/>
  <c r="AI143" i="1" l="1"/>
  <c r="AH143" i="1" s="1"/>
  <c r="AM142" i="1"/>
  <c r="BH34" i="1" s="1"/>
  <c r="BK34" i="1" s="1"/>
  <c r="AQ142" i="1"/>
  <c r="AR142" i="1" s="1"/>
  <c r="AS142" i="1" s="1"/>
  <c r="BJ34" i="1" s="1"/>
  <c r="BM34" i="1" s="1"/>
  <c r="AN142" i="1"/>
  <c r="AO142" i="1" s="1"/>
  <c r="AP142" i="1" s="1"/>
  <c r="BI34" i="1" s="1"/>
  <c r="BL34" i="1" s="1"/>
  <c r="AT142" i="1"/>
  <c r="AU142" i="1" s="1"/>
  <c r="AV142" i="1" s="1"/>
  <c r="AZ122" i="1"/>
  <c r="BA122" i="1" s="1"/>
  <c r="BB122" i="1" s="1"/>
  <c r="AX123" i="1" s="1"/>
  <c r="BN34" i="1" l="1"/>
  <c r="AI144" i="1"/>
  <c r="AH144" i="1" s="1"/>
  <c r="AQ143" i="1"/>
  <c r="AR143" i="1" s="1"/>
  <c r="AS143" i="1" s="1"/>
  <c r="AN143" i="1"/>
  <c r="AO143" i="1" s="1"/>
  <c r="AP143" i="1" s="1"/>
  <c r="AM143" i="1"/>
  <c r="AT143" i="1"/>
  <c r="AU143" i="1" s="1"/>
  <c r="AV143" i="1" s="1"/>
  <c r="BO34" i="1"/>
  <c r="BP34" i="1"/>
  <c r="AY123" i="1"/>
  <c r="AZ123" i="1"/>
  <c r="AI145" i="1" l="1"/>
  <c r="AH145" i="1" s="1"/>
  <c r="AM144" i="1"/>
  <c r="AN144" i="1"/>
  <c r="AO144" i="1" s="1"/>
  <c r="AP144" i="1" s="1"/>
  <c r="AQ144" i="1"/>
  <c r="AR144" i="1" s="1"/>
  <c r="AS144" i="1" s="1"/>
  <c r="AT144" i="1"/>
  <c r="AU144" i="1" s="1"/>
  <c r="AV144" i="1" s="1"/>
  <c r="BA123" i="1"/>
  <c r="BB123" i="1" s="1"/>
  <c r="AX124" i="1" s="1"/>
  <c r="AI146" i="1" l="1"/>
  <c r="AH146" i="1" s="1"/>
  <c r="AQ145" i="1"/>
  <c r="AR145" i="1" s="1"/>
  <c r="AS145" i="1" s="1"/>
  <c r="AN145" i="1"/>
  <c r="AO145" i="1" s="1"/>
  <c r="AP145" i="1" s="1"/>
  <c r="AT145" i="1"/>
  <c r="AU145" i="1" s="1"/>
  <c r="AV145" i="1" s="1"/>
  <c r="AM145" i="1"/>
  <c r="AZ124" i="1"/>
  <c r="AY124" i="1"/>
  <c r="AI147" i="1" l="1"/>
  <c r="AH147" i="1" s="1"/>
  <c r="AQ146" i="1"/>
  <c r="AR146" i="1" s="1"/>
  <c r="AS146" i="1" s="1"/>
  <c r="AN146" i="1"/>
  <c r="AO146" i="1" s="1"/>
  <c r="AP146" i="1" s="1"/>
  <c r="AM146" i="1"/>
  <c r="AT146" i="1"/>
  <c r="AU146" i="1" s="1"/>
  <c r="AV146" i="1" s="1"/>
  <c r="BA124" i="1"/>
  <c r="BB124" i="1" s="1"/>
  <c r="AX125" i="1" s="1"/>
  <c r="AY125" i="1" s="1"/>
  <c r="AI148" i="1" l="1"/>
  <c r="AH148" i="1" s="1"/>
  <c r="AT147" i="1"/>
  <c r="AU147" i="1" s="1"/>
  <c r="AV147" i="1" s="1"/>
  <c r="AM147" i="1"/>
  <c r="BH35" i="1" s="1"/>
  <c r="BK35" i="1" s="1"/>
  <c r="AN147" i="1"/>
  <c r="AO147" i="1" s="1"/>
  <c r="AP147" i="1" s="1"/>
  <c r="BI35" i="1" s="1"/>
  <c r="BL35" i="1" s="1"/>
  <c r="AQ147" i="1"/>
  <c r="AR147" i="1" s="1"/>
  <c r="AS147" i="1" s="1"/>
  <c r="BJ35" i="1" s="1"/>
  <c r="BM35" i="1" s="1"/>
  <c r="AZ125" i="1"/>
  <c r="BA125" i="1" s="1"/>
  <c r="BB125" i="1" s="1"/>
  <c r="AX126" i="1" s="1"/>
  <c r="BN35" i="1"/>
  <c r="AI149" i="1" l="1"/>
  <c r="AH149" i="1" s="1"/>
  <c r="AN148" i="1"/>
  <c r="AO148" i="1" s="1"/>
  <c r="AP148" i="1" s="1"/>
  <c r="AQ148" i="1"/>
  <c r="AR148" i="1" s="1"/>
  <c r="AS148" i="1" s="1"/>
  <c r="AT148" i="1"/>
  <c r="AU148" i="1" s="1"/>
  <c r="AV148" i="1" s="1"/>
  <c r="AM148" i="1"/>
  <c r="BO35" i="1"/>
  <c r="BP35" i="1"/>
  <c r="AZ126" i="1"/>
  <c r="AY126" i="1"/>
  <c r="AI150" i="1" l="1"/>
  <c r="AH150" i="1" s="1"/>
  <c r="AM149" i="1"/>
  <c r="AQ149" i="1"/>
  <c r="AR149" i="1" s="1"/>
  <c r="AS149" i="1" s="1"/>
  <c r="AT149" i="1"/>
  <c r="AU149" i="1" s="1"/>
  <c r="AV149" i="1" s="1"/>
  <c r="AN149" i="1"/>
  <c r="AO149" i="1" s="1"/>
  <c r="AP149" i="1" s="1"/>
  <c r="BA126" i="1"/>
  <c r="BB126" i="1" s="1"/>
  <c r="AX127" i="1" s="1"/>
  <c r="AZ127" i="1" s="1"/>
  <c r="AI151" i="1" l="1"/>
  <c r="AH151" i="1" s="1"/>
  <c r="AQ150" i="1"/>
  <c r="AR150" i="1" s="1"/>
  <c r="AS150" i="1" s="1"/>
  <c r="AM150" i="1"/>
  <c r="AT150" i="1"/>
  <c r="AU150" i="1" s="1"/>
  <c r="AV150" i="1" s="1"/>
  <c r="AN150" i="1"/>
  <c r="AO150" i="1" s="1"/>
  <c r="AP150" i="1" s="1"/>
  <c r="AY127" i="1"/>
  <c r="BA127" i="1" s="1"/>
  <c r="BB127" i="1" s="1"/>
  <c r="AX128" i="1" s="1"/>
  <c r="AI152" i="1" l="1"/>
  <c r="AH152" i="1" s="1"/>
  <c r="AM151" i="1"/>
  <c r="AT151" i="1"/>
  <c r="AU151" i="1" s="1"/>
  <c r="AV151" i="1" s="1"/>
  <c r="AQ151" i="1"/>
  <c r="AR151" i="1" s="1"/>
  <c r="AS151" i="1" s="1"/>
  <c r="AN151" i="1"/>
  <c r="AO151" i="1" s="1"/>
  <c r="AP151" i="1" s="1"/>
  <c r="AY128" i="1"/>
  <c r="AZ128" i="1"/>
  <c r="AI153" i="1" l="1"/>
  <c r="AH153" i="1" s="1"/>
  <c r="AN152" i="1"/>
  <c r="AO152" i="1" s="1"/>
  <c r="AP152" i="1" s="1"/>
  <c r="BI36" i="1" s="1"/>
  <c r="BL36" i="1" s="1"/>
  <c r="AT152" i="1"/>
  <c r="AU152" i="1" s="1"/>
  <c r="AV152" i="1" s="1"/>
  <c r="AM152" i="1"/>
  <c r="BH36" i="1" s="1"/>
  <c r="BK36" i="1" s="1"/>
  <c r="AQ152" i="1"/>
  <c r="AR152" i="1" s="1"/>
  <c r="AS152" i="1" s="1"/>
  <c r="BJ36" i="1" s="1"/>
  <c r="BM36" i="1" s="1"/>
  <c r="BA128" i="1"/>
  <c r="BB128" i="1" s="1"/>
  <c r="AX129" i="1" s="1"/>
  <c r="BN36" i="1" l="1"/>
  <c r="AI154" i="1"/>
  <c r="AH154" i="1" s="1"/>
  <c r="AM153" i="1"/>
  <c r="AQ153" i="1"/>
  <c r="AR153" i="1" s="1"/>
  <c r="AS153" i="1" s="1"/>
  <c r="AN153" i="1"/>
  <c r="AO153" i="1" s="1"/>
  <c r="AP153" i="1" s="1"/>
  <c r="AT153" i="1"/>
  <c r="AU153" i="1" s="1"/>
  <c r="AV153" i="1" s="1"/>
  <c r="BO36" i="1"/>
  <c r="BP36" i="1"/>
  <c r="AY129" i="1"/>
  <c r="AZ129" i="1"/>
  <c r="AI155" i="1" l="1"/>
  <c r="AH155" i="1" s="1"/>
  <c r="AM154" i="1"/>
  <c r="AN154" i="1"/>
  <c r="AO154" i="1" s="1"/>
  <c r="AP154" i="1" s="1"/>
  <c r="AQ154" i="1"/>
  <c r="AR154" i="1" s="1"/>
  <c r="AS154" i="1" s="1"/>
  <c r="AT154" i="1"/>
  <c r="AU154" i="1" s="1"/>
  <c r="AV154" i="1" s="1"/>
  <c r="BA129" i="1"/>
  <c r="BB129" i="1" s="1"/>
  <c r="AX130" i="1" s="1"/>
  <c r="AY130" i="1" s="1"/>
  <c r="AI156" i="1" l="1"/>
  <c r="AH156" i="1" s="1"/>
  <c r="AN155" i="1"/>
  <c r="AO155" i="1" s="1"/>
  <c r="AP155" i="1" s="1"/>
  <c r="AQ155" i="1"/>
  <c r="AR155" i="1" s="1"/>
  <c r="AS155" i="1" s="1"/>
  <c r="AM155" i="1"/>
  <c r="AT155" i="1"/>
  <c r="AU155" i="1" s="1"/>
  <c r="AV155" i="1" s="1"/>
  <c r="AZ130" i="1"/>
  <c r="BA130" i="1" s="1"/>
  <c r="BB130" i="1" s="1"/>
  <c r="AX131" i="1" s="1"/>
  <c r="AI157" i="1" l="1"/>
  <c r="AH157" i="1" s="1"/>
  <c r="AM156" i="1"/>
  <c r="AT156" i="1"/>
  <c r="AU156" i="1" s="1"/>
  <c r="AV156" i="1" s="1"/>
  <c r="AN156" i="1"/>
  <c r="AO156" i="1" s="1"/>
  <c r="AP156" i="1" s="1"/>
  <c r="AQ156" i="1"/>
  <c r="AR156" i="1" s="1"/>
  <c r="AS156" i="1" s="1"/>
  <c r="AZ131" i="1"/>
  <c r="AY131" i="1"/>
  <c r="AI158" i="1" l="1"/>
  <c r="AH158" i="1" s="1"/>
  <c r="AT157" i="1"/>
  <c r="AU157" i="1" s="1"/>
  <c r="AV157" i="1" s="1"/>
  <c r="AQ157" i="1"/>
  <c r="AR157" i="1" s="1"/>
  <c r="AS157" i="1" s="1"/>
  <c r="BJ37" i="1" s="1"/>
  <c r="BM37" i="1" s="1"/>
  <c r="AN157" i="1"/>
  <c r="AO157" i="1" s="1"/>
  <c r="AP157" i="1" s="1"/>
  <c r="BI37" i="1" s="1"/>
  <c r="BL37" i="1" s="1"/>
  <c r="AM157" i="1"/>
  <c r="BH37" i="1" s="1"/>
  <c r="BK37" i="1" s="1"/>
  <c r="BA131" i="1"/>
  <c r="BB131" i="1" s="1"/>
  <c r="AX132" i="1" s="1"/>
  <c r="AY132" i="1" s="1"/>
  <c r="BN37" i="1" l="1"/>
  <c r="AI159" i="1"/>
  <c r="AH159" i="1" s="1"/>
  <c r="AM158" i="1"/>
  <c r="AT158" i="1"/>
  <c r="AU158" i="1" s="1"/>
  <c r="AV158" i="1" s="1"/>
  <c r="AQ158" i="1"/>
  <c r="AR158" i="1" s="1"/>
  <c r="AS158" i="1" s="1"/>
  <c r="AN158" i="1"/>
  <c r="AO158" i="1" s="1"/>
  <c r="AP158" i="1" s="1"/>
  <c r="BO37" i="1"/>
  <c r="BP37" i="1"/>
  <c r="AZ132" i="1"/>
  <c r="BA132" i="1" s="1"/>
  <c r="BB132" i="1" s="1"/>
  <c r="AX133" i="1" s="1"/>
  <c r="AI160" i="1" l="1"/>
  <c r="AH160" i="1" s="1"/>
  <c r="AM159" i="1"/>
  <c r="AN159" i="1"/>
  <c r="AO159" i="1" s="1"/>
  <c r="AP159" i="1" s="1"/>
  <c r="AT159" i="1"/>
  <c r="AU159" i="1" s="1"/>
  <c r="AV159" i="1" s="1"/>
  <c r="AQ159" i="1"/>
  <c r="AR159" i="1" s="1"/>
  <c r="AS159" i="1" s="1"/>
  <c r="AY133" i="1"/>
  <c r="AZ133" i="1"/>
  <c r="AI161" i="1" l="1"/>
  <c r="AH161" i="1" s="1"/>
  <c r="AQ160" i="1"/>
  <c r="AR160" i="1" s="1"/>
  <c r="AS160" i="1" s="1"/>
  <c r="AM160" i="1"/>
  <c r="AN160" i="1"/>
  <c r="AO160" i="1" s="1"/>
  <c r="AP160" i="1" s="1"/>
  <c r="AT160" i="1"/>
  <c r="AU160" i="1" s="1"/>
  <c r="AV160" i="1" s="1"/>
  <c r="BA133" i="1"/>
  <c r="BB133" i="1" s="1"/>
  <c r="AX134" i="1" s="1"/>
  <c r="AI162" i="1" l="1"/>
  <c r="AH162" i="1" s="1"/>
  <c r="AT161" i="1"/>
  <c r="AU161" i="1" s="1"/>
  <c r="AV161" i="1" s="1"/>
  <c r="AN161" i="1"/>
  <c r="AO161" i="1" s="1"/>
  <c r="AP161" i="1" s="1"/>
  <c r="AQ161" i="1"/>
  <c r="AR161" i="1" s="1"/>
  <c r="AS161" i="1" s="1"/>
  <c r="AM161" i="1"/>
  <c r="AY134" i="1"/>
  <c r="AZ134" i="1"/>
  <c r="AI163" i="1" l="1"/>
  <c r="AH163" i="1" s="1"/>
  <c r="AM162" i="1"/>
  <c r="BH38" i="1" s="1"/>
  <c r="BK38" i="1" s="1"/>
  <c r="AT162" i="1"/>
  <c r="AU162" i="1" s="1"/>
  <c r="AV162" i="1" s="1"/>
  <c r="AN162" i="1"/>
  <c r="AO162" i="1" s="1"/>
  <c r="AP162" i="1" s="1"/>
  <c r="BI38" i="1" s="1"/>
  <c r="BL38" i="1" s="1"/>
  <c r="AQ162" i="1"/>
  <c r="AR162" i="1" s="1"/>
  <c r="AS162" i="1" s="1"/>
  <c r="BJ38" i="1" s="1"/>
  <c r="BM38" i="1" s="1"/>
  <c r="BA134" i="1"/>
  <c r="BB134" i="1" s="1"/>
  <c r="AX135" i="1" s="1"/>
  <c r="BN38" i="1" l="1"/>
  <c r="AI164" i="1"/>
  <c r="AH164" i="1" s="1"/>
  <c r="AN163" i="1"/>
  <c r="AO163" i="1" s="1"/>
  <c r="AP163" i="1" s="1"/>
  <c r="AT163" i="1"/>
  <c r="AU163" i="1" s="1"/>
  <c r="AV163" i="1" s="1"/>
  <c r="AM163" i="1"/>
  <c r="AQ163" i="1"/>
  <c r="AR163" i="1" s="1"/>
  <c r="AS163" i="1" s="1"/>
  <c r="BP38" i="1"/>
  <c r="BO38" i="1"/>
  <c r="AZ135" i="1"/>
  <c r="AY135" i="1"/>
  <c r="AI165" i="1" l="1"/>
  <c r="AH165" i="1" s="1"/>
  <c r="AN164" i="1"/>
  <c r="AO164" i="1" s="1"/>
  <c r="AP164" i="1" s="1"/>
  <c r="AQ164" i="1"/>
  <c r="AR164" i="1" s="1"/>
  <c r="AS164" i="1" s="1"/>
  <c r="AT164" i="1"/>
  <c r="AU164" i="1" s="1"/>
  <c r="AV164" i="1" s="1"/>
  <c r="AM164" i="1"/>
  <c r="BA135" i="1"/>
  <c r="BB135" i="1" s="1"/>
  <c r="AX136" i="1" s="1"/>
  <c r="AZ136" i="1" s="1"/>
  <c r="AI166" i="1" l="1"/>
  <c r="AH166" i="1" s="1"/>
  <c r="AT165" i="1"/>
  <c r="AU165" i="1" s="1"/>
  <c r="AV165" i="1" s="1"/>
  <c r="AQ165" i="1"/>
  <c r="AR165" i="1" s="1"/>
  <c r="AS165" i="1" s="1"/>
  <c r="AN165" i="1"/>
  <c r="AO165" i="1" s="1"/>
  <c r="AP165" i="1" s="1"/>
  <c r="AM165" i="1"/>
  <c r="AY136" i="1"/>
  <c r="BA136" i="1" s="1"/>
  <c r="BB136" i="1" s="1"/>
  <c r="AX137" i="1" s="1"/>
  <c r="AY137" i="1" s="1"/>
  <c r="AI167" i="1" l="1"/>
  <c r="AH167" i="1" s="1"/>
  <c r="AM166" i="1"/>
  <c r="AQ166" i="1"/>
  <c r="AR166" i="1" s="1"/>
  <c r="AS166" i="1" s="1"/>
  <c r="AT166" i="1"/>
  <c r="AU166" i="1" s="1"/>
  <c r="AV166" i="1" s="1"/>
  <c r="AN166" i="1"/>
  <c r="AO166" i="1" s="1"/>
  <c r="AP166" i="1" s="1"/>
  <c r="AZ137" i="1"/>
  <c r="BA137" i="1" s="1"/>
  <c r="BB137" i="1" s="1"/>
  <c r="AX138" i="1" s="1"/>
  <c r="AZ138" i="1" s="1"/>
  <c r="AI168" i="1" l="1"/>
  <c r="AH168" i="1" s="1"/>
  <c r="AQ167" i="1"/>
  <c r="AR167" i="1" s="1"/>
  <c r="AS167" i="1" s="1"/>
  <c r="BJ39" i="1" s="1"/>
  <c r="BM39" i="1" s="1"/>
  <c r="AN167" i="1"/>
  <c r="AO167" i="1" s="1"/>
  <c r="AP167" i="1" s="1"/>
  <c r="BI39" i="1" s="1"/>
  <c r="BL39" i="1" s="1"/>
  <c r="AT167" i="1"/>
  <c r="AU167" i="1" s="1"/>
  <c r="AV167" i="1" s="1"/>
  <c r="AM167" i="1"/>
  <c r="BH39" i="1" s="1"/>
  <c r="BK39" i="1" s="1"/>
  <c r="AY138" i="1"/>
  <c r="BA138" i="1" s="1"/>
  <c r="BB138" i="1" s="1"/>
  <c r="AX139" i="1" s="1"/>
  <c r="AZ139" i="1" s="1"/>
  <c r="BN39" i="1" l="1"/>
  <c r="AI169" i="1"/>
  <c r="AH169" i="1" s="1"/>
  <c r="AN168" i="1"/>
  <c r="AO168" i="1" s="1"/>
  <c r="AP168" i="1" s="1"/>
  <c r="AM168" i="1"/>
  <c r="AT168" i="1"/>
  <c r="AU168" i="1" s="1"/>
  <c r="AV168" i="1" s="1"/>
  <c r="AQ168" i="1"/>
  <c r="AR168" i="1" s="1"/>
  <c r="AS168" i="1" s="1"/>
  <c r="BP39" i="1"/>
  <c r="BO39" i="1"/>
  <c r="AY139" i="1"/>
  <c r="BA139" i="1" s="1"/>
  <c r="BB139" i="1" s="1"/>
  <c r="AX140" i="1" s="1"/>
  <c r="AZ140" i="1" s="1"/>
  <c r="AI170" i="1" l="1"/>
  <c r="AH170" i="1" s="1"/>
  <c r="AN169" i="1"/>
  <c r="AO169" i="1" s="1"/>
  <c r="AP169" i="1" s="1"/>
  <c r="AT169" i="1"/>
  <c r="AU169" i="1" s="1"/>
  <c r="AV169" i="1" s="1"/>
  <c r="AQ169" i="1"/>
  <c r="AR169" i="1" s="1"/>
  <c r="AS169" i="1" s="1"/>
  <c r="AM169" i="1"/>
  <c r="AY140" i="1"/>
  <c r="BA140" i="1" s="1"/>
  <c r="BB140" i="1" s="1"/>
  <c r="AX141" i="1" s="1"/>
  <c r="AY141" i="1" s="1"/>
  <c r="AI171" i="1" l="1"/>
  <c r="AH171" i="1" s="1"/>
  <c r="AQ170" i="1"/>
  <c r="AR170" i="1" s="1"/>
  <c r="AS170" i="1" s="1"/>
  <c r="AM170" i="1"/>
  <c r="AT170" i="1"/>
  <c r="AU170" i="1" s="1"/>
  <c r="AV170" i="1" s="1"/>
  <c r="AN170" i="1"/>
  <c r="AO170" i="1" s="1"/>
  <c r="AP170" i="1" s="1"/>
  <c r="AZ141" i="1"/>
  <c r="BA141" i="1" s="1"/>
  <c r="BB141" i="1" s="1"/>
  <c r="AX142" i="1" s="1"/>
  <c r="AI172" i="1" l="1"/>
  <c r="AH172" i="1" s="1"/>
  <c r="AQ171" i="1"/>
  <c r="AR171" i="1" s="1"/>
  <c r="AS171" i="1" s="1"/>
  <c r="AN171" i="1"/>
  <c r="AO171" i="1" s="1"/>
  <c r="AP171" i="1" s="1"/>
  <c r="AM171" i="1"/>
  <c r="AT171" i="1"/>
  <c r="AU171" i="1" s="1"/>
  <c r="AV171" i="1" s="1"/>
  <c r="AY142" i="1"/>
  <c r="AZ142" i="1"/>
  <c r="AI173" i="1" l="1"/>
  <c r="AH173" i="1" s="1"/>
  <c r="AT172" i="1"/>
  <c r="AU172" i="1" s="1"/>
  <c r="AV172" i="1" s="1"/>
  <c r="AN172" i="1"/>
  <c r="AO172" i="1" s="1"/>
  <c r="AP172" i="1" s="1"/>
  <c r="BI40" i="1" s="1"/>
  <c r="BL40" i="1" s="1"/>
  <c r="AQ172" i="1"/>
  <c r="AR172" i="1" s="1"/>
  <c r="AS172" i="1" s="1"/>
  <c r="BJ40" i="1" s="1"/>
  <c r="BM40" i="1" s="1"/>
  <c r="AM172" i="1"/>
  <c r="BH40" i="1" s="1"/>
  <c r="BK40" i="1" s="1"/>
  <c r="BA142" i="1"/>
  <c r="BB142" i="1" s="1"/>
  <c r="AX143" i="1" s="1"/>
  <c r="BN40" i="1" l="1"/>
  <c r="AI174" i="1"/>
  <c r="AH174" i="1" s="1"/>
  <c r="AT173" i="1"/>
  <c r="AU173" i="1" s="1"/>
  <c r="AV173" i="1" s="1"/>
  <c r="AN173" i="1"/>
  <c r="AO173" i="1" s="1"/>
  <c r="AP173" i="1" s="1"/>
  <c r="AM173" i="1"/>
  <c r="AQ173" i="1"/>
  <c r="AR173" i="1" s="1"/>
  <c r="AS173" i="1" s="1"/>
  <c r="BP40" i="1"/>
  <c r="BO40" i="1"/>
  <c r="AY143" i="1"/>
  <c r="AZ143" i="1"/>
  <c r="AI175" i="1" l="1"/>
  <c r="AH175" i="1" s="1"/>
  <c r="AT174" i="1"/>
  <c r="AU174" i="1" s="1"/>
  <c r="AV174" i="1" s="1"/>
  <c r="AN174" i="1"/>
  <c r="AO174" i="1" s="1"/>
  <c r="AP174" i="1" s="1"/>
  <c r="AQ174" i="1"/>
  <c r="AR174" i="1" s="1"/>
  <c r="AS174" i="1" s="1"/>
  <c r="AM174" i="1"/>
  <c r="BA143" i="1"/>
  <c r="BB143" i="1" s="1"/>
  <c r="AX144" i="1" s="1"/>
  <c r="AI176" i="1" l="1"/>
  <c r="AH176" i="1" s="1"/>
  <c r="AQ175" i="1"/>
  <c r="AR175" i="1" s="1"/>
  <c r="AS175" i="1" s="1"/>
  <c r="AN175" i="1"/>
  <c r="AO175" i="1" s="1"/>
  <c r="AP175" i="1" s="1"/>
  <c r="AT175" i="1"/>
  <c r="AU175" i="1" s="1"/>
  <c r="AV175" i="1" s="1"/>
  <c r="AM175" i="1"/>
  <c r="AZ144" i="1"/>
  <c r="AY144" i="1"/>
  <c r="AI177" i="1" l="1"/>
  <c r="AH177" i="1" s="1"/>
  <c r="AM176" i="1"/>
  <c r="AT176" i="1"/>
  <c r="AU176" i="1" s="1"/>
  <c r="AV176" i="1" s="1"/>
  <c r="AN176" i="1"/>
  <c r="AO176" i="1" s="1"/>
  <c r="AP176" i="1" s="1"/>
  <c r="AQ176" i="1"/>
  <c r="AR176" i="1" s="1"/>
  <c r="AS176" i="1" s="1"/>
  <c r="BA144" i="1"/>
  <c r="BB144" i="1" s="1"/>
  <c r="AX145" i="1" s="1"/>
  <c r="AZ145" i="1" s="1"/>
  <c r="AI178" i="1" l="1"/>
  <c r="AH178" i="1" s="1"/>
  <c r="AN177" i="1"/>
  <c r="AO177" i="1" s="1"/>
  <c r="AP177" i="1" s="1"/>
  <c r="BI41" i="1" s="1"/>
  <c r="BL41" i="1" s="1"/>
  <c r="AQ177" i="1"/>
  <c r="AR177" i="1" s="1"/>
  <c r="AS177" i="1" s="1"/>
  <c r="BJ41" i="1" s="1"/>
  <c r="BM41" i="1" s="1"/>
  <c r="AT177" i="1"/>
  <c r="AU177" i="1" s="1"/>
  <c r="AV177" i="1" s="1"/>
  <c r="AM177" i="1"/>
  <c r="BH41" i="1" s="1"/>
  <c r="BK41" i="1" s="1"/>
  <c r="AY145" i="1"/>
  <c r="BA145" i="1" s="1"/>
  <c r="BB145" i="1" s="1"/>
  <c r="AX146" i="1" s="1"/>
  <c r="BO41" i="1" l="1"/>
  <c r="BN41" i="1"/>
  <c r="AI179" i="1"/>
  <c r="AH179" i="1" s="1"/>
  <c r="AT178" i="1"/>
  <c r="AU178" i="1" s="1"/>
  <c r="AV178" i="1" s="1"/>
  <c r="AN178" i="1"/>
  <c r="AO178" i="1" s="1"/>
  <c r="AP178" i="1" s="1"/>
  <c r="AQ178" i="1"/>
  <c r="AR178" i="1" s="1"/>
  <c r="AS178" i="1" s="1"/>
  <c r="AM178" i="1"/>
  <c r="BP41" i="1"/>
  <c r="AY146" i="1"/>
  <c r="AZ146" i="1"/>
  <c r="AI180" i="1" l="1"/>
  <c r="AH180" i="1" s="1"/>
  <c r="AQ179" i="1"/>
  <c r="AR179" i="1" s="1"/>
  <c r="AS179" i="1" s="1"/>
  <c r="AN179" i="1"/>
  <c r="AO179" i="1" s="1"/>
  <c r="AP179" i="1" s="1"/>
  <c r="AT179" i="1"/>
  <c r="AU179" i="1" s="1"/>
  <c r="AV179" i="1" s="1"/>
  <c r="AM179" i="1"/>
  <c r="BA146" i="1"/>
  <c r="BB146" i="1" s="1"/>
  <c r="AX147" i="1" s="1"/>
  <c r="AI181" i="1" l="1"/>
  <c r="AH181" i="1" s="1"/>
  <c r="AQ180" i="1"/>
  <c r="AR180" i="1" s="1"/>
  <c r="AS180" i="1" s="1"/>
  <c r="AN180" i="1"/>
  <c r="AO180" i="1" s="1"/>
  <c r="AP180" i="1" s="1"/>
  <c r="AT180" i="1"/>
  <c r="AU180" i="1" s="1"/>
  <c r="AV180" i="1" s="1"/>
  <c r="AM180" i="1"/>
  <c r="AZ147" i="1"/>
  <c r="AY147" i="1"/>
  <c r="AI182" i="1" l="1"/>
  <c r="AH182" i="1" s="1"/>
  <c r="AN181" i="1"/>
  <c r="AO181" i="1" s="1"/>
  <c r="AP181" i="1" s="1"/>
  <c r="AQ181" i="1"/>
  <c r="AR181" i="1" s="1"/>
  <c r="AS181" i="1" s="1"/>
  <c r="AT181" i="1"/>
  <c r="AU181" i="1" s="1"/>
  <c r="AV181" i="1" s="1"/>
  <c r="AM181" i="1"/>
  <c r="BA147" i="1"/>
  <c r="BB147" i="1" s="1"/>
  <c r="AX148" i="1" s="1"/>
  <c r="AY148" i="1" s="1"/>
  <c r="AI183" i="1" l="1"/>
  <c r="AH183" i="1" s="1"/>
  <c r="AT182" i="1"/>
  <c r="AU182" i="1" s="1"/>
  <c r="AV182" i="1" s="1"/>
  <c r="AN182" i="1"/>
  <c r="AO182" i="1" s="1"/>
  <c r="AP182" i="1" s="1"/>
  <c r="BI42" i="1" s="1"/>
  <c r="BL42" i="1" s="1"/>
  <c r="AQ182" i="1"/>
  <c r="AR182" i="1" s="1"/>
  <c r="AS182" i="1" s="1"/>
  <c r="BJ42" i="1" s="1"/>
  <c r="BM42" i="1" s="1"/>
  <c r="AM182" i="1"/>
  <c r="BH42" i="1" s="1"/>
  <c r="BK42" i="1" s="1"/>
  <c r="AZ148" i="1"/>
  <c r="BA148" i="1" s="1"/>
  <c r="BB148" i="1" s="1"/>
  <c r="AX149" i="1" s="1"/>
  <c r="BN42" i="1" l="1"/>
  <c r="AI184" i="1"/>
  <c r="AH184" i="1" s="1"/>
  <c r="AM183" i="1"/>
  <c r="AT183" i="1"/>
  <c r="AU183" i="1" s="1"/>
  <c r="AV183" i="1" s="1"/>
  <c r="AQ183" i="1"/>
  <c r="AR183" i="1" s="1"/>
  <c r="AS183" i="1" s="1"/>
  <c r="AN183" i="1"/>
  <c r="AO183" i="1" s="1"/>
  <c r="AP183" i="1" s="1"/>
  <c r="BO42" i="1"/>
  <c r="BP42" i="1"/>
  <c r="AY149" i="1"/>
  <c r="AZ149" i="1"/>
  <c r="AI185" i="1" l="1"/>
  <c r="AH185" i="1" s="1"/>
  <c r="AQ184" i="1"/>
  <c r="AR184" i="1" s="1"/>
  <c r="AS184" i="1" s="1"/>
  <c r="AM184" i="1"/>
  <c r="AT184" i="1"/>
  <c r="AU184" i="1" s="1"/>
  <c r="AV184" i="1" s="1"/>
  <c r="AN184" i="1"/>
  <c r="AO184" i="1" s="1"/>
  <c r="AP184" i="1" s="1"/>
  <c r="BA149" i="1"/>
  <c r="BB149" i="1" s="1"/>
  <c r="AX150" i="1" s="1"/>
  <c r="AI186" i="1" l="1"/>
  <c r="AH186" i="1" s="1"/>
  <c r="AM185" i="1"/>
  <c r="AQ185" i="1"/>
  <c r="AR185" i="1" s="1"/>
  <c r="AS185" i="1" s="1"/>
  <c r="AT185" i="1"/>
  <c r="AU185" i="1" s="1"/>
  <c r="AV185" i="1" s="1"/>
  <c r="AN185" i="1"/>
  <c r="AO185" i="1" s="1"/>
  <c r="AP185" i="1" s="1"/>
  <c r="AZ150" i="1"/>
  <c r="AY150" i="1"/>
  <c r="AI187" i="1" l="1"/>
  <c r="AH187" i="1" s="1"/>
  <c r="AT186" i="1"/>
  <c r="AU186" i="1" s="1"/>
  <c r="AV186" i="1" s="1"/>
  <c r="AN186" i="1"/>
  <c r="AO186" i="1" s="1"/>
  <c r="AP186" i="1" s="1"/>
  <c r="AM186" i="1"/>
  <c r="AQ186" i="1"/>
  <c r="AR186" i="1" s="1"/>
  <c r="AS186" i="1" s="1"/>
  <c r="BA150" i="1"/>
  <c r="BB150" i="1" s="1"/>
  <c r="AX151" i="1" s="1"/>
  <c r="AY151" i="1" s="1"/>
  <c r="AI188" i="1" l="1"/>
  <c r="AH188" i="1" s="1"/>
  <c r="AT187" i="1"/>
  <c r="AU187" i="1" s="1"/>
  <c r="AV187" i="1" s="1"/>
  <c r="AQ187" i="1"/>
  <c r="AR187" i="1" s="1"/>
  <c r="AS187" i="1" s="1"/>
  <c r="BJ43" i="1" s="1"/>
  <c r="BM43" i="1" s="1"/>
  <c r="AM187" i="1"/>
  <c r="BH43" i="1" s="1"/>
  <c r="BK43" i="1" s="1"/>
  <c r="AN187" i="1"/>
  <c r="AO187" i="1" s="1"/>
  <c r="AP187" i="1" s="1"/>
  <c r="BI43" i="1" s="1"/>
  <c r="BL43" i="1" s="1"/>
  <c r="AZ151" i="1"/>
  <c r="BA151" i="1" s="1"/>
  <c r="BB151" i="1" s="1"/>
  <c r="AX152" i="1" s="1"/>
  <c r="BN43" i="1" l="1"/>
  <c r="AI189" i="1"/>
  <c r="AH189" i="1" s="1"/>
  <c r="AQ188" i="1"/>
  <c r="AR188" i="1" s="1"/>
  <c r="AS188" i="1" s="1"/>
  <c r="AT188" i="1"/>
  <c r="AU188" i="1" s="1"/>
  <c r="AV188" i="1" s="1"/>
  <c r="AM188" i="1"/>
  <c r="AN188" i="1"/>
  <c r="AO188" i="1" s="1"/>
  <c r="AP188" i="1" s="1"/>
  <c r="BP43" i="1"/>
  <c r="BO43" i="1"/>
  <c r="AY152" i="1"/>
  <c r="AZ152" i="1"/>
  <c r="AI190" i="1" l="1"/>
  <c r="AH190" i="1" s="1"/>
  <c r="AN189" i="1"/>
  <c r="AO189" i="1" s="1"/>
  <c r="AP189" i="1" s="1"/>
  <c r="AQ189" i="1"/>
  <c r="AR189" i="1" s="1"/>
  <c r="AS189" i="1" s="1"/>
  <c r="AT189" i="1"/>
  <c r="AU189" i="1" s="1"/>
  <c r="AV189" i="1" s="1"/>
  <c r="AM189" i="1"/>
  <c r="BA152" i="1"/>
  <c r="BB152" i="1" s="1"/>
  <c r="AX153" i="1" s="1"/>
  <c r="AI191" i="1" l="1"/>
  <c r="AH191" i="1" s="1"/>
  <c r="AQ190" i="1"/>
  <c r="AR190" i="1" s="1"/>
  <c r="AS190" i="1" s="1"/>
  <c r="AT190" i="1"/>
  <c r="AU190" i="1" s="1"/>
  <c r="AV190" i="1" s="1"/>
  <c r="AN190" i="1"/>
  <c r="AO190" i="1" s="1"/>
  <c r="AP190" i="1" s="1"/>
  <c r="AM190" i="1"/>
  <c r="AZ153" i="1"/>
  <c r="AY153" i="1"/>
  <c r="AI192" i="1" l="1"/>
  <c r="AH192" i="1" s="1"/>
  <c r="AN191" i="1"/>
  <c r="AO191" i="1" s="1"/>
  <c r="AP191" i="1" s="1"/>
  <c r="AT191" i="1"/>
  <c r="AU191" i="1" s="1"/>
  <c r="AV191" i="1" s="1"/>
  <c r="AQ191" i="1"/>
  <c r="AR191" i="1" s="1"/>
  <c r="AS191" i="1" s="1"/>
  <c r="AM191" i="1"/>
  <c r="BA153" i="1"/>
  <c r="BB153" i="1" s="1"/>
  <c r="AX154" i="1" s="1"/>
  <c r="AY154" i="1" s="1"/>
  <c r="AI193" i="1" l="1"/>
  <c r="AH193" i="1" s="1"/>
  <c r="AM192" i="1"/>
  <c r="BH44" i="1" s="1"/>
  <c r="BK44" i="1" s="1"/>
  <c r="AT192" i="1"/>
  <c r="AU192" i="1" s="1"/>
  <c r="AV192" i="1" s="1"/>
  <c r="AN192" i="1"/>
  <c r="AO192" i="1" s="1"/>
  <c r="AP192" i="1" s="1"/>
  <c r="BI44" i="1" s="1"/>
  <c r="BL44" i="1" s="1"/>
  <c r="AQ192" i="1"/>
  <c r="AR192" i="1" s="1"/>
  <c r="AS192" i="1" s="1"/>
  <c r="BJ44" i="1" s="1"/>
  <c r="BM44" i="1" s="1"/>
  <c r="AZ154" i="1"/>
  <c r="BA154" i="1" s="1"/>
  <c r="BB154" i="1" s="1"/>
  <c r="AX155" i="1" s="1"/>
  <c r="BN44" i="1" l="1"/>
  <c r="AI194" i="1"/>
  <c r="AH194" i="1" s="1"/>
  <c r="AT193" i="1"/>
  <c r="AU193" i="1" s="1"/>
  <c r="AV193" i="1" s="1"/>
  <c r="AM193" i="1"/>
  <c r="AN193" i="1"/>
  <c r="AO193" i="1" s="1"/>
  <c r="AP193" i="1" s="1"/>
  <c r="AQ193" i="1"/>
  <c r="AR193" i="1" s="1"/>
  <c r="AS193" i="1" s="1"/>
  <c r="BO44" i="1"/>
  <c r="BP44" i="1"/>
  <c r="AZ155" i="1"/>
  <c r="AY155" i="1"/>
  <c r="AI195" i="1" l="1"/>
  <c r="AH195" i="1" s="1"/>
  <c r="AT194" i="1"/>
  <c r="AU194" i="1" s="1"/>
  <c r="AV194" i="1" s="1"/>
  <c r="AN194" i="1"/>
  <c r="AO194" i="1" s="1"/>
  <c r="AP194" i="1" s="1"/>
  <c r="AQ194" i="1"/>
  <c r="AR194" i="1" s="1"/>
  <c r="AS194" i="1" s="1"/>
  <c r="AM194" i="1"/>
  <c r="BA155" i="1"/>
  <c r="BB155" i="1" s="1"/>
  <c r="AX156" i="1" s="1"/>
  <c r="AZ156" i="1" s="1"/>
  <c r="AI196" i="1" l="1"/>
  <c r="AH196" i="1" s="1"/>
  <c r="AN195" i="1"/>
  <c r="AO195" i="1" s="1"/>
  <c r="AP195" i="1" s="1"/>
  <c r="AT195" i="1"/>
  <c r="AU195" i="1" s="1"/>
  <c r="AV195" i="1" s="1"/>
  <c r="AM195" i="1"/>
  <c r="AQ195" i="1"/>
  <c r="AR195" i="1" s="1"/>
  <c r="AS195" i="1" s="1"/>
  <c r="AY156" i="1"/>
  <c r="BA156" i="1" s="1"/>
  <c r="BB156" i="1" s="1"/>
  <c r="AX157" i="1" s="1"/>
  <c r="AI197" i="1" l="1"/>
  <c r="AH197" i="1" s="1"/>
  <c r="AT196" i="1"/>
  <c r="AU196" i="1" s="1"/>
  <c r="AV196" i="1" s="1"/>
  <c r="AM196" i="1"/>
  <c r="AN196" i="1"/>
  <c r="AO196" i="1" s="1"/>
  <c r="AP196" i="1" s="1"/>
  <c r="AQ196" i="1"/>
  <c r="AR196" i="1" s="1"/>
  <c r="AS196" i="1" s="1"/>
  <c r="AZ157" i="1"/>
  <c r="AY157" i="1"/>
  <c r="AI198" i="1" l="1"/>
  <c r="AH198" i="1" s="1"/>
  <c r="AN197" i="1"/>
  <c r="AO197" i="1" s="1"/>
  <c r="AP197" i="1" s="1"/>
  <c r="BI45" i="1" s="1"/>
  <c r="BL45" i="1" s="1"/>
  <c r="AQ197" i="1"/>
  <c r="AR197" i="1" s="1"/>
  <c r="AS197" i="1" s="1"/>
  <c r="BJ45" i="1" s="1"/>
  <c r="BM45" i="1" s="1"/>
  <c r="AT197" i="1"/>
  <c r="AU197" i="1" s="1"/>
  <c r="AV197" i="1" s="1"/>
  <c r="AM197" i="1"/>
  <c r="BH45" i="1" s="1"/>
  <c r="BK45" i="1" s="1"/>
  <c r="BA157" i="1"/>
  <c r="BB157" i="1" s="1"/>
  <c r="AX158" i="1" s="1"/>
  <c r="AY158" i="1" s="1"/>
  <c r="BN45" i="1" l="1"/>
  <c r="AI199" i="1"/>
  <c r="AH199" i="1" s="1"/>
  <c r="AT198" i="1"/>
  <c r="AU198" i="1" s="1"/>
  <c r="AV198" i="1" s="1"/>
  <c r="AQ198" i="1"/>
  <c r="AR198" i="1" s="1"/>
  <c r="AS198" i="1" s="1"/>
  <c r="AN198" i="1"/>
  <c r="AO198" i="1" s="1"/>
  <c r="AP198" i="1" s="1"/>
  <c r="AM198" i="1"/>
  <c r="BP45" i="1"/>
  <c r="BO45" i="1"/>
  <c r="AZ158" i="1"/>
  <c r="BA158" i="1" s="1"/>
  <c r="BB158" i="1" s="1"/>
  <c r="AX159" i="1" s="1"/>
  <c r="AZ159" i="1" s="1"/>
  <c r="AI200" i="1" l="1"/>
  <c r="AH200" i="1" s="1"/>
  <c r="AQ199" i="1"/>
  <c r="AR199" i="1" s="1"/>
  <c r="AS199" i="1" s="1"/>
  <c r="AM199" i="1"/>
  <c r="AT199" i="1"/>
  <c r="AU199" i="1" s="1"/>
  <c r="AV199" i="1" s="1"/>
  <c r="AN199" i="1"/>
  <c r="AO199" i="1" s="1"/>
  <c r="AP199" i="1" s="1"/>
  <c r="AY159" i="1"/>
  <c r="BA159" i="1" s="1"/>
  <c r="BB159" i="1" s="1"/>
  <c r="AX160" i="1" s="1"/>
  <c r="AZ160" i="1" s="1"/>
  <c r="AI201" i="1" l="1"/>
  <c r="AH201" i="1" s="1"/>
  <c r="AT200" i="1"/>
  <c r="AU200" i="1" s="1"/>
  <c r="AV200" i="1" s="1"/>
  <c r="AN200" i="1"/>
  <c r="AO200" i="1" s="1"/>
  <c r="AP200" i="1" s="1"/>
  <c r="AM200" i="1"/>
  <c r="AQ200" i="1"/>
  <c r="AR200" i="1" s="1"/>
  <c r="AS200" i="1" s="1"/>
  <c r="AY160" i="1"/>
  <c r="BA160" i="1" s="1"/>
  <c r="BB160" i="1" s="1"/>
  <c r="AX161" i="1" s="1"/>
  <c r="AY161" i="1" s="1"/>
  <c r="AI202" i="1" l="1"/>
  <c r="AH202" i="1" s="1"/>
  <c r="AM201" i="1"/>
  <c r="AT201" i="1"/>
  <c r="AU201" i="1" s="1"/>
  <c r="AV201" i="1" s="1"/>
  <c r="AQ201" i="1"/>
  <c r="AR201" i="1" s="1"/>
  <c r="AS201" i="1" s="1"/>
  <c r="AN201" i="1"/>
  <c r="AO201" i="1" s="1"/>
  <c r="AP201" i="1" s="1"/>
  <c r="AZ161" i="1"/>
  <c r="BA161" i="1" s="1"/>
  <c r="BB161" i="1" s="1"/>
  <c r="AX162" i="1" s="1"/>
  <c r="AY162" i="1" s="1"/>
  <c r="AI203" i="1" l="1"/>
  <c r="AH203" i="1" s="1"/>
  <c r="AM202" i="1"/>
  <c r="BH46" i="1" s="1"/>
  <c r="BK46" i="1" s="1"/>
  <c r="AN202" i="1"/>
  <c r="AO202" i="1" s="1"/>
  <c r="AP202" i="1" s="1"/>
  <c r="BI46" i="1" s="1"/>
  <c r="BL46" i="1" s="1"/>
  <c r="AT202" i="1"/>
  <c r="AU202" i="1" s="1"/>
  <c r="AV202" i="1" s="1"/>
  <c r="AQ202" i="1"/>
  <c r="AR202" i="1" s="1"/>
  <c r="AS202" i="1" s="1"/>
  <c r="BJ46" i="1" s="1"/>
  <c r="BM46" i="1" s="1"/>
  <c r="AZ162" i="1"/>
  <c r="BA162" i="1" s="1"/>
  <c r="BB162" i="1" s="1"/>
  <c r="AX163" i="1" s="1"/>
  <c r="AY163" i="1" s="1"/>
  <c r="BN46" i="1" l="1"/>
  <c r="AI204" i="1"/>
  <c r="AH204" i="1" s="1"/>
  <c r="AN203" i="1"/>
  <c r="AO203" i="1" s="1"/>
  <c r="AP203" i="1" s="1"/>
  <c r="AM203" i="1"/>
  <c r="AQ203" i="1"/>
  <c r="AR203" i="1" s="1"/>
  <c r="AS203" i="1" s="1"/>
  <c r="AT203" i="1"/>
  <c r="AU203" i="1" s="1"/>
  <c r="AV203" i="1" s="1"/>
  <c r="BO46" i="1"/>
  <c r="BP46" i="1"/>
  <c r="AZ163" i="1"/>
  <c r="BA163" i="1" s="1"/>
  <c r="BB163" i="1" s="1"/>
  <c r="AX164" i="1" s="1"/>
  <c r="AI205" i="1" l="1"/>
  <c r="AH205" i="1" s="1"/>
  <c r="AT204" i="1"/>
  <c r="AU204" i="1" s="1"/>
  <c r="AV204" i="1" s="1"/>
  <c r="AN204" i="1"/>
  <c r="AO204" i="1" s="1"/>
  <c r="AP204" i="1" s="1"/>
  <c r="AM204" i="1"/>
  <c r="AQ204" i="1"/>
  <c r="AR204" i="1" s="1"/>
  <c r="AS204" i="1" s="1"/>
  <c r="AZ164" i="1"/>
  <c r="AY164" i="1"/>
  <c r="AI206" i="1" l="1"/>
  <c r="AH206" i="1" s="1"/>
  <c r="AT205" i="1"/>
  <c r="AU205" i="1" s="1"/>
  <c r="AV205" i="1" s="1"/>
  <c r="AN205" i="1"/>
  <c r="AO205" i="1" s="1"/>
  <c r="AP205" i="1" s="1"/>
  <c r="AQ205" i="1"/>
  <c r="AR205" i="1" s="1"/>
  <c r="AS205" i="1" s="1"/>
  <c r="AM205" i="1"/>
  <c r="BA164" i="1"/>
  <c r="BB164" i="1" s="1"/>
  <c r="AX165" i="1" s="1"/>
  <c r="AY165" i="1" s="1"/>
  <c r="AI207" i="1" l="1"/>
  <c r="AH207" i="1" s="1"/>
  <c r="AT206" i="1"/>
  <c r="AU206" i="1" s="1"/>
  <c r="AV206" i="1" s="1"/>
  <c r="AN206" i="1"/>
  <c r="AO206" i="1" s="1"/>
  <c r="AP206" i="1" s="1"/>
  <c r="AM206" i="1"/>
  <c r="AQ206" i="1"/>
  <c r="AR206" i="1" s="1"/>
  <c r="AS206" i="1" s="1"/>
  <c r="AZ165" i="1"/>
  <c r="BA165" i="1" s="1"/>
  <c r="BB165" i="1" s="1"/>
  <c r="AX166" i="1" s="1"/>
  <c r="AZ166" i="1" s="1"/>
  <c r="AI208" i="1" l="1"/>
  <c r="AH208" i="1" s="1"/>
  <c r="AQ207" i="1"/>
  <c r="AR207" i="1" s="1"/>
  <c r="AS207" i="1" s="1"/>
  <c r="BJ47" i="1" s="1"/>
  <c r="BM47" i="1" s="1"/>
  <c r="AT207" i="1"/>
  <c r="AU207" i="1" s="1"/>
  <c r="AV207" i="1" s="1"/>
  <c r="AN207" i="1"/>
  <c r="AO207" i="1" s="1"/>
  <c r="AP207" i="1" s="1"/>
  <c r="BI47" i="1" s="1"/>
  <c r="BL47" i="1" s="1"/>
  <c r="AM207" i="1"/>
  <c r="BH47" i="1" s="1"/>
  <c r="BK47" i="1" s="1"/>
  <c r="AY166" i="1"/>
  <c r="BA166" i="1" s="1"/>
  <c r="BB166" i="1" s="1"/>
  <c r="AX167" i="1" s="1"/>
  <c r="AZ167" i="1" s="1"/>
  <c r="BN47" i="1" l="1"/>
  <c r="AI209" i="1"/>
  <c r="AH209" i="1" s="1"/>
  <c r="AQ208" i="1"/>
  <c r="AR208" i="1" s="1"/>
  <c r="AS208" i="1" s="1"/>
  <c r="AN208" i="1"/>
  <c r="AO208" i="1" s="1"/>
  <c r="AP208" i="1" s="1"/>
  <c r="AM208" i="1"/>
  <c r="AT208" i="1"/>
  <c r="AU208" i="1" s="1"/>
  <c r="AV208" i="1" s="1"/>
  <c r="BO47" i="1"/>
  <c r="BP47" i="1"/>
  <c r="AY167" i="1"/>
  <c r="BA167" i="1" s="1"/>
  <c r="BB167" i="1" s="1"/>
  <c r="AX168" i="1" s="1"/>
  <c r="AZ168" i="1" s="1"/>
  <c r="AI210" i="1" l="1"/>
  <c r="AH210" i="1" s="1"/>
  <c r="AN209" i="1"/>
  <c r="AO209" i="1" s="1"/>
  <c r="AP209" i="1" s="1"/>
  <c r="AQ209" i="1"/>
  <c r="AR209" i="1" s="1"/>
  <c r="AS209" i="1" s="1"/>
  <c r="AM209" i="1"/>
  <c r="AT209" i="1"/>
  <c r="AU209" i="1" s="1"/>
  <c r="AV209" i="1" s="1"/>
  <c r="AY168" i="1"/>
  <c r="BA168" i="1" s="1"/>
  <c r="BB168" i="1" s="1"/>
  <c r="AX169" i="1" s="1"/>
  <c r="AI211" i="1" l="1"/>
  <c r="AH211" i="1" s="1"/>
  <c r="AT210" i="1"/>
  <c r="AU210" i="1" s="1"/>
  <c r="AV210" i="1" s="1"/>
  <c r="AQ210" i="1"/>
  <c r="AR210" i="1" s="1"/>
  <c r="AS210" i="1" s="1"/>
  <c r="AM210" i="1"/>
  <c r="AN210" i="1"/>
  <c r="AO210" i="1" s="1"/>
  <c r="AP210" i="1" s="1"/>
  <c r="AZ169" i="1"/>
  <c r="AY169" i="1"/>
  <c r="AI212" i="1" l="1"/>
  <c r="AH212" i="1" s="1"/>
  <c r="AQ211" i="1"/>
  <c r="AR211" i="1" s="1"/>
  <c r="AS211" i="1" s="1"/>
  <c r="AM211" i="1"/>
  <c r="AT211" i="1"/>
  <c r="AU211" i="1" s="1"/>
  <c r="AV211" i="1" s="1"/>
  <c r="AN211" i="1"/>
  <c r="AO211" i="1" s="1"/>
  <c r="AP211" i="1" s="1"/>
  <c r="BA169" i="1"/>
  <c r="BB169" i="1" s="1"/>
  <c r="AX170" i="1" s="1"/>
  <c r="AZ170" i="1" s="1"/>
  <c r="AI213" i="1" l="1"/>
  <c r="AH213" i="1" s="1"/>
  <c r="AT212" i="1"/>
  <c r="AU212" i="1" s="1"/>
  <c r="AV212" i="1" s="1"/>
  <c r="AN212" i="1"/>
  <c r="AO212" i="1" s="1"/>
  <c r="AP212" i="1" s="1"/>
  <c r="BI48" i="1" s="1"/>
  <c r="BL48" i="1" s="1"/>
  <c r="AM212" i="1"/>
  <c r="BH48" i="1" s="1"/>
  <c r="BK48" i="1" s="1"/>
  <c r="AQ212" i="1"/>
  <c r="AR212" i="1" s="1"/>
  <c r="AS212" i="1" s="1"/>
  <c r="BJ48" i="1" s="1"/>
  <c r="BM48" i="1" s="1"/>
  <c r="AY170" i="1"/>
  <c r="BA170" i="1" s="1"/>
  <c r="BB170" i="1" s="1"/>
  <c r="AX171" i="1" s="1"/>
  <c r="AZ171" i="1" s="1"/>
  <c r="BN48" i="1" l="1"/>
  <c r="AI214" i="1"/>
  <c r="AH214" i="1" s="1"/>
  <c r="AT213" i="1"/>
  <c r="AU213" i="1" s="1"/>
  <c r="AV213" i="1" s="1"/>
  <c r="AQ213" i="1"/>
  <c r="AR213" i="1" s="1"/>
  <c r="AS213" i="1" s="1"/>
  <c r="AM213" i="1"/>
  <c r="AN213" i="1"/>
  <c r="AO213" i="1" s="1"/>
  <c r="AP213" i="1" s="1"/>
  <c r="BO48" i="1"/>
  <c r="BP48" i="1"/>
  <c r="AY171" i="1"/>
  <c r="BA171" i="1" s="1"/>
  <c r="BB171" i="1" s="1"/>
  <c r="AX172" i="1" s="1"/>
  <c r="AY172" i="1" s="1"/>
  <c r="AI215" i="1" l="1"/>
  <c r="AH215" i="1" s="1"/>
  <c r="AN214" i="1"/>
  <c r="AO214" i="1" s="1"/>
  <c r="AP214" i="1" s="1"/>
  <c r="AQ214" i="1"/>
  <c r="AR214" i="1" s="1"/>
  <c r="AS214" i="1" s="1"/>
  <c r="AT214" i="1"/>
  <c r="AU214" i="1" s="1"/>
  <c r="AV214" i="1" s="1"/>
  <c r="AM214" i="1"/>
  <c r="AZ172" i="1"/>
  <c r="BA172" i="1" s="1"/>
  <c r="BB172" i="1" s="1"/>
  <c r="AX173" i="1" s="1"/>
  <c r="AY173" i="1" s="1"/>
  <c r="AI216" i="1" l="1"/>
  <c r="AH216" i="1" s="1"/>
  <c r="AM215" i="1"/>
  <c r="AQ215" i="1"/>
  <c r="AR215" i="1" s="1"/>
  <c r="AS215" i="1" s="1"/>
  <c r="AT215" i="1"/>
  <c r="AU215" i="1" s="1"/>
  <c r="AV215" i="1" s="1"/>
  <c r="AN215" i="1"/>
  <c r="AO215" i="1" s="1"/>
  <c r="AP215" i="1" s="1"/>
  <c r="AZ173" i="1"/>
  <c r="BA173" i="1" s="1"/>
  <c r="BB173" i="1" s="1"/>
  <c r="AX174" i="1" s="1"/>
  <c r="AI217" i="1" l="1"/>
  <c r="AH217" i="1" s="1"/>
  <c r="AN216" i="1"/>
  <c r="AO216" i="1" s="1"/>
  <c r="AP216" i="1" s="1"/>
  <c r="AM216" i="1"/>
  <c r="AQ216" i="1"/>
  <c r="AR216" i="1" s="1"/>
  <c r="AS216" i="1" s="1"/>
  <c r="AT216" i="1"/>
  <c r="AU216" i="1" s="1"/>
  <c r="AV216" i="1" s="1"/>
  <c r="AY174" i="1"/>
  <c r="AZ174" i="1"/>
  <c r="AI218" i="1" l="1"/>
  <c r="AH218" i="1" s="1"/>
  <c r="AM217" i="1"/>
  <c r="BH49" i="1" s="1"/>
  <c r="BK49" i="1" s="1"/>
  <c r="AQ217" i="1"/>
  <c r="AR217" i="1" s="1"/>
  <c r="AS217" i="1" s="1"/>
  <c r="BJ49" i="1" s="1"/>
  <c r="BM49" i="1" s="1"/>
  <c r="AT217" i="1"/>
  <c r="AU217" i="1" s="1"/>
  <c r="AV217" i="1" s="1"/>
  <c r="AN217" i="1"/>
  <c r="AO217" i="1" s="1"/>
  <c r="AP217" i="1" s="1"/>
  <c r="BI49" i="1" s="1"/>
  <c r="BL49" i="1" s="1"/>
  <c r="BA174" i="1"/>
  <c r="BB174" i="1" s="1"/>
  <c r="AX175" i="1" s="1"/>
  <c r="AY175" i="1" s="1"/>
  <c r="BN49" i="1" l="1"/>
  <c r="AI219" i="1"/>
  <c r="AH219" i="1" s="1"/>
  <c r="AM218" i="1"/>
  <c r="AN218" i="1"/>
  <c r="AO218" i="1" s="1"/>
  <c r="AP218" i="1" s="1"/>
  <c r="AQ218" i="1"/>
  <c r="AR218" i="1" s="1"/>
  <c r="AS218" i="1" s="1"/>
  <c r="AT218" i="1"/>
  <c r="AU218" i="1" s="1"/>
  <c r="AV218" i="1" s="1"/>
  <c r="BP49" i="1"/>
  <c r="BO49" i="1"/>
  <c r="AZ175" i="1"/>
  <c r="BA175" i="1" s="1"/>
  <c r="BB175" i="1" s="1"/>
  <c r="AX176" i="1" s="1"/>
  <c r="AZ176" i="1" s="1"/>
  <c r="AI220" i="1" l="1"/>
  <c r="AH220" i="1" s="1"/>
  <c r="AN219" i="1"/>
  <c r="AO219" i="1" s="1"/>
  <c r="AP219" i="1" s="1"/>
  <c r="AM219" i="1"/>
  <c r="AQ219" i="1"/>
  <c r="AR219" i="1" s="1"/>
  <c r="AS219" i="1" s="1"/>
  <c r="AT219" i="1"/>
  <c r="AU219" i="1" s="1"/>
  <c r="AV219" i="1" s="1"/>
  <c r="AY176" i="1"/>
  <c r="BA176" i="1" s="1"/>
  <c r="BB176" i="1" s="1"/>
  <c r="AX177" i="1" s="1"/>
  <c r="AY177" i="1" s="1"/>
  <c r="AI221" i="1" l="1"/>
  <c r="AH221" i="1" s="1"/>
  <c r="AM220" i="1"/>
  <c r="AT220" i="1"/>
  <c r="AU220" i="1" s="1"/>
  <c r="AV220" i="1" s="1"/>
  <c r="AQ220" i="1"/>
  <c r="AR220" i="1" s="1"/>
  <c r="AS220" i="1" s="1"/>
  <c r="AN220" i="1"/>
  <c r="AO220" i="1" s="1"/>
  <c r="AP220" i="1" s="1"/>
  <c r="AZ177" i="1"/>
  <c r="BA177" i="1" s="1"/>
  <c r="BB177" i="1" s="1"/>
  <c r="AX178" i="1" s="1"/>
  <c r="AI222" i="1" l="1"/>
  <c r="AH222" i="1" s="1"/>
  <c r="AM221" i="1"/>
  <c r="AN221" i="1"/>
  <c r="AO221" i="1" s="1"/>
  <c r="AP221" i="1" s="1"/>
  <c r="AQ221" i="1"/>
  <c r="AR221" i="1" s="1"/>
  <c r="AS221" i="1" s="1"/>
  <c r="AT221" i="1"/>
  <c r="AU221" i="1" s="1"/>
  <c r="AV221" i="1" s="1"/>
  <c r="AZ178" i="1"/>
  <c r="AY178" i="1"/>
  <c r="AI223" i="1" l="1"/>
  <c r="AH223" i="1" s="1"/>
  <c r="AM222" i="1"/>
  <c r="BH50" i="1" s="1"/>
  <c r="BK50" i="1" s="1"/>
  <c r="AN222" i="1"/>
  <c r="AO222" i="1" s="1"/>
  <c r="AP222" i="1" s="1"/>
  <c r="BI50" i="1" s="1"/>
  <c r="BL50" i="1" s="1"/>
  <c r="AT222" i="1"/>
  <c r="AU222" i="1" s="1"/>
  <c r="AV222" i="1" s="1"/>
  <c r="AQ222" i="1"/>
  <c r="AR222" i="1" s="1"/>
  <c r="AS222" i="1" s="1"/>
  <c r="BJ50" i="1" s="1"/>
  <c r="BM50" i="1" s="1"/>
  <c r="BA178" i="1"/>
  <c r="BB178" i="1" s="1"/>
  <c r="AX179" i="1" s="1"/>
  <c r="AZ179" i="1" s="1"/>
  <c r="BN50" i="1" l="1"/>
  <c r="AI224" i="1"/>
  <c r="AH224" i="1" s="1"/>
  <c r="AQ223" i="1"/>
  <c r="AR223" i="1" s="1"/>
  <c r="AS223" i="1" s="1"/>
  <c r="AN223" i="1"/>
  <c r="AO223" i="1" s="1"/>
  <c r="AP223" i="1" s="1"/>
  <c r="AT223" i="1"/>
  <c r="AU223" i="1" s="1"/>
  <c r="AV223" i="1" s="1"/>
  <c r="AM223" i="1"/>
  <c r="BP50" i="1"/>
  <c r="BO50" i="1"/>
  <c r="AY179" i="1"/>
  <c r="BA179" i="1" s="1"/>
  <c r="BB179" i="1" s="1"/>
  <c r="AX180" i="1" s="1"/>
  <c r="AI225" i="1" l="1"/>
  <c r="AH225" i="1" s="1"/>
  <c r="AT224" i="1"/>
  <c r="AU224" i="1" s="1"/>
  <c r="AV224" i="1" s="1"/>
  <c r="AM224" i="1"/>
  <c r="AQ224" i="1"/>
  <c r="AR224" i="1" s="1"/>
  <c r="AS224" i="1" s="1"/>
  <c r="AN224" i="1"/>
  <c r="AO224" i="1" s="1"/>
  <c r="AP224" i="1" s="1"/>
  <c r="AY180" i="1"/>
  <c r="AZ180" i="1"/>
  <c r="AI226" i="1" l="1"/>
  <c r="AH226" i="1" s="1"/>
  <c r="AN225" i="1"/>
  <c r="AO225" i="1" s="1"/>
  <c r="AP225" i="1" s="1"/>
  <c r="AM225" i="1"/>
  <c r="AT225" i="1"/>
  <c r="AU225" i="1" s="1"/>
  <c r="AV225" i="1" s="1"/>
  <c r="AQ225" i="1"/>
  <c r="AR225" i="1" s="1"/>
  <c r="AS225" i="1" s="1"/>
  <c r="BA180" i="1"/>
  <c r="BB180" i="1" s="1"/>
  <c r="AX181" i="1" s="1"/>
  <c r="AY181" i="1" s="1"/>
  <c r="AI227" i="1" l="1"/>
  <c r="AH227" i="1" s="1"/>
  <c r="AN226" i="1"/>
  <c r="AO226" i="1" s="1"/>
  <c r="AP226" i="1" s="1"/>
  <c r="AQ226" i="1"/>
  <c r="AR226" i="1" s="1"/>
  <c r="AS226" i="1" s="1"/>
  <c r="AM226" i="1"/>
  <c r="AT226" i="1"/>
  <c r="AU226" i="1" s="1"/>
  <c r="AV226" i="1" s="1"/>
  <c r="AZ181" i="1"/>
  <c r="BA181" i="1" s="1"/>
  <c r="BB181" i="1" s="1"/>
  <c r="AX182" i="1" s="1"/>
  <c r="AZ182" i="1" s="1"/>
  <c r="AI228" i="1" l="1"/>
  <c r="AH228" i="1" s="1"/>
  <c r="AQ227" i="1"/>
  <c r="AR227" i="1" s="1"/>
  <c r="AS227" i="1" s="1"/>
  <c r="BJ51" i="1" s="1"/>
  <c r="BM51" i="1" s="1"/>
  <c r="AT227" i="1"/>
  <c r="AU227" i="1" s="1"/>
  <c r="AV227" i="1" s="1"/>
  <c r="AM227" i="1"/>
  <c r="BH51" i="1" s="1"/>
  <c r="BK51" i="1" s="1"/>
  <c r="AN227" i="1"/>
  <c r="AO227" i="1" s="1"/>
  <c r="AP227" i="1" s="1"/>
  <c r="BI51" i="1" s="1"/>
  <c r="BL51" i="1" s="1"/>
  <c r="AY182" i="1"/>
  <c r="BA182" i="1" s="1"/>
  <c r="BB182" i="1" s="1"/>
  <c r="AX183" i="1" s="1"/>
  <c r="AY183" i="1" s="1"/>
  <c r="BN51" i="1" l="1"/>
  <c r="AI229" i="1"/>
  <c r="AH229" i="1" s="1"/>
  <c r="AN228" i="1"/>
  <c r="AO228" i="1" s="1"/>
  <c r="AP228" i="1" s="1"/>
  <c r="AM228" i="1"/>
  <c r="AQ228" i="1"/>
  <c r="AR228" i="1" s="1"/>
  <c r="AS228" i="1" s="1"/>
  <c r="AT228" i="1"/>
  <c r="AU228" i="1" s="1"/>
  <c r="AV228" i="1" s="1"/>
  <c r="BO51" i="1"/>
  <c r="BP51" i="1"/>
  <c r="AZ183" i="1"/>
  <c r="BA183" i="1" s="1"/>
  <c r="BB183" i="1" s="1"/>
  <c r="AX184" i="1" s="1"/>
  <c r="AZ184" i="1" s="1"/>
  <c r="AI230" i="1" l="1"/>
  <c r="AH230" i="1" s="1"/>
  <c r="AN229" i="1"/>
  <c r="AO229" i="1" s="1"/>
  <c r="AP229" i="1" s="1"/>
  <c r="AM229" i="1"/>
  <c r="AT229" i="1"/>
  <c r="AU229" i="1" s="1"/>
  <c r="AV229" i="1" s="1"/>
  <c r="AQ229" i="1"/>
  <c r="AR229" i="1" s="1"/>
  <c r="AS229" i="1" s="1"/>
  <c r="AY184" i="1"/>
  <c r="BA184" i="1" s="1"/>
  <c r="BB184" i="1" s="1"/>
  <c r="AX185" i="1" s="1"/>
  <c r="AZ185" i="1" s="1"/>
  <c r="AI231" i="1" l="1"/>
  <c r="AH231" i="1" s="1"/>
  <c r="AM230" i="1"/>
  <c r="AT230" i="1"/>
  <c r="AU230" i="1" s="1"/>
  <c r="AV230" i="1" s="1"/>
  <c r="AN230" i="1"/>
  <c r="AO230" i="1" s="1"/>
  <c r="AP230" i="1" s="1"/>
  <c r="AQ230" i="1"/>
  <c r="AR230" i="1" s="1"/>
  <c r="AS230" i="1" s="1"/>
  <c r="AY185" i="1"/>
  <c r="BA185" i="1" s="1"/>
  <c r="BB185" i="1" s="1"/>
  <c r="AX186" i="1" s="1"/>
  <c r="AY186" i="1" s="1"/>
  <c r="AI232" i="1" l="1"/>
  <c r="AH232" i="1" s="1"/>
  <c r="AT231" i="1"/>
  <c r="AU231" i="1" s="1"/>
  <c r="AV231" i="1" s="1"/>
  <c r="AM231" i="1"/>
  <c r="AN231" i="1"/>
  <c r="AO231" i="1" s="1"/>
  <c r="AP231" i="1" s="1"/>
  <c r="AQ231" i="1"/>
  <c r="AR231" i="1" s="1"/>
  <c r="AS231" i="1" s="1"/>
  <c r="AZ186" i="1"/>
  <c r="BA186" i="1" s="1"/>
  <c r="BB186" i="1" s="1"/>
  <c r="AX187" i="1" s="1"/>
  <c r="AI233" i="1" l="1"/>
  <c r="AH233" i="1" s="1"/>
  <c r="AT232" i="1"/>
  <c r="AU232" i="1" s="1"/>
  <c r="AV232" i="1" s="1"/>
  <c r="AQ232" i="1"/>
  <c r="AR232" i="1" s="1"/>
  <c r="AS232" i="1" s="1"/>
  <c r="BJ52" i="1" s="1"/>
  <c r="BM52" i="1" s="1"/>
  <c r="AM232" i="1"/>
  <c r="BH52" i="1" s="1"/>
  <c r="BK52" i="1" s="1"/>
  <c r="AN232" i="1"/>
  <c r="AO232" i="1" s="1"/>
  <c r="AP232" i="1" s="1"/>
  <c r="BI52" i="1" s="1"/>
  <c r="BL52" i="1" s="1"/>
  <c r="AY187" i="1"/>
  <c r="AZ187" i="1"/>
  <c r="BN52" i="1"/>
  <c r="AI234" i="1" l="1"/>
  <c r="AH234" i="1" s="1"/>
  <c r="AT233" i="1"/>
  <c r="AU233" i="1" s="1"/>
  <c r="AV233" i="1" s="1"/>
  <c r="AQ233" i="1"/>
  <c r="AR233" i="1" s="1"/>
  <c r="AS233" i="1" s="1"/>
  <c r="AN233" i="1"/>
  <c r="AO233" i="1" s="1"/>
  <c r="AP233" i="1" s="1"/>
  <c r="AM233" i="1"/>
  <c r="BP52" i="1"/>
  <c r="BO52" i="1"/>
  <c r="BA187" i="1"/>
  <c r="BB187" i="1" s="1"/>
  <c r="AX188" i="1" s="1"/>
  <c r="AY188" i="1" s="1"/>
  <c r="AI235" i="1" l="1"/>
  <c r="AH235" i="1" s="1"/>
  <c r="AN234" i="1"/>
  <c r="AO234" i="1" s="1"/>
  <c r="AP234" i="1" s="1"/>
  <c r="AT234" i="1"/>
  <c r="AU234" i="1" s="1"/>
  <c r="AV234" i="1" s="1"/>
  <c r="AQ234" i="1"/>
  <c r="AR234" i="1" s="1"/>
  <c r="AS234" i="1" s="1"/>
  <c r="AM234" i="1"/>
  <c r="AZ188" i="1"/>
  <c r="BA188" i="1" s="1"/>
  <c r="BB188" i="1" s="1"/>
  <c r="AX189" i="1" s="1"/>
  <c r="AY189" i="1" s="1"/>
  <c r="AI236" i="1" l="1"/>
  <c r="AH236" i="1" s="1"/>
  <c r="AT235" i="1"/>
  <c r="AU235" i="1" s="1"/>
  <c r="AV235" i="1" s="1"/>
  <c r="AQ235" i="1"/>
  <c r="AR235" i="1" s="1"/>
  <c r="AS235" i="1" s="1"/>
  <c r="AN235" i="1"/>
  <c r="AO235" i="1" s="1"/>
  <c r="AP235" i="1" s="1"/>
  <c r="AM235" i="1"/>
  <c r="AZ189" i="1"/>
  <c r="BA189" i="1" s="1"/>
  <c r="BB189" i="1" s="1"/>
  <c r="AX190" i="1" s="1"/>
  <c r="AI237" i="1" l="1"/>
  <c r="AH237" i="1" s="1"/>
  <c r="AQ236" i="1"/>
  <c r="AR236" i="1" s="1"/>
  <c r="AS236" i="1" s="1"/>
  <c r="AT236" i="1"/>
  <c r="AU236" i="1" s="1"/>
  <c r="AV236" i="1" s="1"/>
  <c r="AN236" i="1"/>
  <c r="AO236" i="1" s="1"/>
  <c r="AP236" i="1" s="1"/>
  <c r="AM236" i="1"/>
  <c r="AY190" i="1"/>
  <c r="AZ190" i="1"/>
  <c r="AI238" i="1" l="1"/>
  <c r="AH238" i="1" s="1"/>
  <c r="AN237" i="1"/>
  <c r="AO237" i="1" s="1"/>
  <c r="AP237" i="1" s="1"/>
  <c r="BI53" i="1" s="1"/>
  <c r="BL53" i="1" s="1"/>
  <c r="AM237" i="1"/>
  <c r="BH53" i="1" s="1"/>
  <c r="BK53" i="1" s="1"/>
  <c r="AT237" i="1"/>
  <c r="AU237" i="1" s="1"/>
  <c r="AV237" i="1" s="1"/>
  <c r="AQ237" i="1"/>
  <c r="AR237" i="1" s="1"/>
  <c r="AS237" i="1" s="1"/>
  <c r="BJ53" i="1" s="1"/>
  <c r="BM53" i="1" s="1"/>
  <c r="BA190" i="1"/>
  <c r="BB190" i="1" s="1"/>
  <c r="AX191" i="1" s="1"/>
  <c r="BN53" i="1"/>
  <c r="AI239" i="1" l="1"/>
  <c r="AH239" i="1" s="1"/>
  <c r="AM238" i="1"/>
  <c r="AT238" i="1"/>
  <c r="AU238" i="1" s="1"/>
  <c r="AV238" i="1" s="1"/>
  <c r="AQ238" i="1"/>
  <c r="AR238" i="1" s="1"/>
  <c r="AS238" i="1" s="1"/>
  <c r="AN238" i="1"/>
  <c r="AO238" i="1" s="1"/>
  <c r="AP238" i="1" s="1"/>
  <c r="BP53" i="1"/>
  <c r="BO53" i="1"/>
  <c r="AZ191" i="1"/>
  <c r="AY191" i="1"/>
  <c r="AI240" i="1" l="1"/>
  <c r="AH240" i="1" s="1"/>
  <c r="AM239" i="1"/>
  <c r="AN239" i="1"/>
  <c r="AO239" i="1" s="1"/>
  <c r="AP239" i="1" s="1"/>
  <c r="AQ239" i="1"/>
  <c r="AR239" i="1" s="1"/>
  <c r="AS239" i="1" s="1"/>
  <c r="AT239" i="1"/>
  <c r="AU239" i="1" s="1"/>
  <c r="AV239" i="1" s="1"/>
  <c r="BA191" i="1"/>
  <c r="BB191" i="1" s="1"/>
  <c r="AX192" i="1" s="1"/>
  <c r="AZ192" i="1" s="1"/>
  <c r="AI241" i="1" l="1"/>
  <c r="AH241" i="1" s="1"/>
  <c r="AM240" i="1"/>
  <c r="AT240" i="1"/>
  <c r="AU240" i="1" s="1"/>
  <c r="AV240" i="1" s="1"/>
  <c r="AQ240" i="1"/>
  <c r="AR240" i="1" s="1"/>
  <c r="AS240" i="1" s="1"/>
  <c r="AN240" i="1"/>
  <c r="AO240" i="1" s="1"/>
  <c r="AP240" i="1" s="1"/>
  <c r="AY192" i="1"/>
  <c r="BA192" i="1" s="1"/>
  <c r="BB192" i="1" s="1"/>
  <c r="AX193" i="1" s="1"/>
  <c r="AZ193" i="1" s="1"/>
  <c r="AI242" i="1" l="1"/>
  <c r="AH242" i="1" s="1"/>
  <c r="AM241" i="1"/>
  <c r="AQ241" i="1"/>
  <c r="AR241" i="1" s="1"/>
  <c r="AS241" i="1" s="1"/>
  <c r="AN241" i="1"/>
  <c r="AO241" i="1" s="1"/>
  <c r="AP241" i="1" s="1"/>
  <c r="AT241" i="1"/>
  <c r="AU241" i="1" s="1"/>
  <c r="AV241" i="1" s="1"/>
  <c r="AY193" i="1"/>
  <c r="BA193" i="1" s="1"/>
  <c r="BB193" i="1" s="1"/>
  <c r="AX194" i="1" s="1"/>
  <c r="AY194" i="1" s="1"/>
  <c r="AI243" i="1" l="1"/>
  <c r="AH243" i="1" s="1"/>
  <c r="AN242" i="1"/>
  <c r="AO242" i="1" s="1"/>
  <c r="AP242" i="1" s="1"/>
  <c r="BI54" i="1" s="1"/>
  <c r="BL54" i="1" s="1"/>
  <c r="AT242" i="1"/>
  <c r="AU242" i="1" s="1"/>
  <c r="AV242" i="1" s="1"/>
  <c r="AQ242" i="1"/>
  <c r="AR242" i="1" s="1"/>
  <c r="AS242" i="1" s="1"/>
  <c r="BJ54" i="1" s="1"/>
  <c r="BM54" i="1" s="1"/>
  <c r="AM242" i="1"/>
  <c r="BH54" i="1" s="1"/>
  <c r="BK54" i="1" s="1"/>
  <c r="AZ194" i="1"/>
  <c r="BA194" i="1" s="1"/>
  <c r="BB194" i="1" s="1"/>
  <c r="AX195" i="1" s="1"/>
  <c r="BN54" i="1" l="1"/>
  <c r="AI244" i="1"/>
  <c r="AH244" i="1" s="1"/>
  <c r="AQ243" i="1"/>
  <c r="AR243" i="1" s="1"/>
  <c r="AS243" i="1" s="1"/>
  <c r="AM243" i="1"/>
  <c r="AT243" i="1"/>
  <c r="AU243" i="1" s="1"/>
  <c r="AV243" i="1" s="1"/>
  <c r="AN243" i="1"/>
  <c r="AO243" i="1" s="1"/>
  <c r="AP243" i="1" s="1"/>
  <c r="BO54" i="1"/>
  <c r="BP54" i="1"/>
  <c r="AZ195" i="1"/>
  <c r="AY195" i="1"/>
  <c r="AI245" i="1" l="1"/>
  <c r="AH245" i="1" s="1"/>
  <c r="AM244" i="1"/>
  <c r="AN244" i="1"/>
  <c r="AO244" i="1" s="1"/>
  <c r="AP244" i="1" s="1"/>
  <c r="AT244" i="1"/>
  <c r="AU244" i="1" s="1"/>
  <c r="AV244" i="1" s="1"/>
  <c r="AQ244" i="1"/>
  <c r="AR244" i="1" s="1"/>
  <c r="AS244" i="1" s="1"/>
  <c r="BA195" i="1"/>
  <c r="BB195" i="1" s="1"/>
  <c r="AX196" i="1" s="1"/>
  <c r="AI246" i="1" l="1"/>
  <c r="AH246" i="1" s="1"/>
  <c r="AN245" i="1"/>
  <c r="AO245" i="1" s="1"/>
  <c r="AP245" i="1" s="1"/>
  <c r="AT245" i="1"/>
  <c r="AU245" i="1" s="1"/>
  <c r="AV245" i="1" s="1"/>
  <c r="AQ245" i="1"/>
  <c r="AR245" i="1" s="1"/>
  <c r="AS245" i="1" s="1"/>
  <c r="AM245" i="1"/>
  <c r="AZ196" i="1"/>
  <c r="AY196" i="1"/>
  <c r="AI247" i="1" l="1"/>
  <c r="AH247" i="1" s="1"/>
  <c r="AQ246" i="1"/>
  <c r="AR246" i="1" s="1"/>
  <c r="AS246" i="1" s="1"/>
  <c r="AN246" i="1"/>
  <c r="AO246" i="1" s="1"/>
  <c r="AP246" i="1" s="1"/>
  <c r="AT246" i="1"/>
  <c r="AU246" i="1" s="1"/>
  <c r="AV246" i="1" s="1"/>
  <c r="AM246" i="1"/>
  <c r="BA196" i="1"/>
  <c r="BB196" i="1" s="1"/>
  <c r="AX197" i="1" s="1"/>
  <c r="AI248" i="1" l="1"/>
  <c r="AH248" i="1" s="1"/>
  <c r="AT247" i="1"/>
  <c r="AU247" i="1" s="1"/>
  <c r="AV247" i="1" s="1"/>
  <c r="AM247" i="1"/>
  <c r="BH55" i="1" s="1"/>
  <c r="BK55" i="1" s="1"/>
  <c r="AQ247" i="1"/>
  <c r="AR247" i="1" s="1"/>
  <c r="AS247" i="1" s="1"/>
  <c r="BJ55" i="1" s="1"/>
  <c r="BM55" i="1" s="1"/>
  <c r="AN247" i="1"/>
  <c r="AO247" i="1" s="1"/>
  <c r="AP247" i="1" s="1"/>
  <c r="BI55" i="1" s="1"/>
  <c r="BL55" i="1" s="1"/>
  <c r="AY197" i="1"/>
  <c r="AZ197" i="1"/>
  <c r="BN55" i="1"/>
  <c r="AI249" i="1" l="1"/>
  <c r="AH249" i="1" s="1"/>
  <c r="AM248" i="1"/>
  <c r="AQ248" i="1"/>
  <c r="AR248" i="1" s="1"/>
  <c r="AS248" i="1" s="1"/>
  <c r="AT248" i="1"/>
  <c r="AU248" i="1" s="1"/>
  <c r="AV248" i="1" s="1"/>
  <c r="AN248" i="1"/>
  <c r="AO248" i="1" s="1"/>
  <c r="AP248" i="1" s="1"/>
  <c r="BO55" i="1"/>
  <c r="BP55" i="1"/>
  <c r="BA197" i="1"/>
  <c r="BB197" i="1" s="1"/>
  <c r="AX198" i="1" s="1"/>
  <c r="AZ198" i="1" s="1"/>
  <c r="AI250" i="1" l="1"/>
  <c r="AH250" i="1" s="1"/>
  <c r="AN249" i="1"/>
  <c r="AO249" i="1" s="1"/>
  <c r="AP249" i="1" s="1"/>
  <c r="AT249" i="1"/>
  <c r="AU249" i="1" s="1"/>
  <c r="AV249" i="1" s="1"/>
  <c r="AQ249" i="1"/>
  <c r="AR249" i="1" s="1"/>
  <c r="AS249" i="1" s="1"/>
  <c r="AM249" i="1"/>
  <c r="AY198" i="1"/>
  <c r="BA198" i="1" s="1"/>
  <c r="BB198" i="1" s="1"/>
  <c r="AX199" i="1" s="1"/>
  <c r="AI251" i="1" l="1"/>
  <c r="AH251" i="1" s="1"/>
  <c r="AM250" i="1"/>
  <c r="AQ250" i="1"/>
  <c r="AR250" i="1" s="1"/>
  <c r="AS250" i="1" s="1"/>
  <c r="AN250" i="1"/>
  <c r="AO250" i="1" s="1"/>
  <c r="AP250" i="1" s="1"/>
  <c r="AT250" i="1"/>
  <c r="AU250" i="1" s="1"/>
  <c r="AV250" i="1" s="1"/>
  <c r="AY199" i="1"/>
  <c r="AZ199" i="1"/>
  <c r="AI252" i="1" l="1"/>
  <c r="AH252" i="1" s="1"/>
  <c r="AN251" i="1"/>
  <c r="AO251" i="1" s="1"/>
  <c r="AP251" i="1" s="1"/>
  <c r="AQ251" i="1"/>
  <c r="AR251" i="1" s="1"/>
  <c r="AS251" i="1" s="1"/>
  <c r="AM251" i="1"/>
  <c r="AT251" i="1"/>
  <c r="AU251" i="1" s="1"/>
  <c r="AV251" i="1" s="1"/>
  <c r="BA199" i="1"/>
  <c r="BB199" i="1" s="1"/>
  <c r="AX200" i="1" s="1"/>
  <c r="AY200" i="1" s="1"/>
  <c r="AI253" i="1" l="1"/>
  <c r="AH253" i="1" s="1"/>
  <c r="AT252" i="1"/>
  <c r="AU252" i="1" s="1"/>
  <c r="AV252" i="1" s="1"/>
  <c r="AM252" i="1"/>
  <c r="BH56" i="1" s="1"/>
  <c r="BK56" i="1" s="1"/>
  <c r="AQ252" i="1"/>
  <c r="AR252" i="1" s="1"/>
  <c r="AS252" i="1" s="1"/>
  <c r="BJ56" i="1" s="1"/>
  <c r="BM56" i="1" s="1"/>
  <c r="AN252" i="1"/>
  <c r="AO252" i="1" s="1"/>
  <c r="AP252" i="1" s="1"/>
  <c r="BI56" i="1" s="1"/>
  <c r="BL56" i="1" s="1"/>
  <c r="AZ200" i="1"/>
  <c r="BA200" i="1" s="1"/>
  <c r="BB200" i="1" s="1"/>
  <c r="AX201" i="1" s="1"/>
  <c r="AZ201" i="1" s="1"/>
  <c r="AI254" i="1" l="1"/>
  <c r="AH254" i="1" s="1"/>
  <c r="AQ253" i="1"/>
  <c r="AR253" i="1" s="1"/>
  <c r="AS253" i="1" s="1"/>
  <c r="AN253" i="1"/>
  <c r="AO253" i="1" s="1"/>
  <c r="AP253" i="1" s="1"/>
  <c r="AM253" i="1"/>
  <c r="AT253" i="1"/>
  <c r="AU253" i="1" s="1"/>
  <c r="AV253" i="1" s="1"/>
  <c r="BN56" i="1"/>
  <c r="BP56" i="1"/>
  <c r="BO56" i="1"/>
  <c r="AY201" i="1"/>
  <c r="BA201" i="1" s="1"/>
  <c r="BB201" i="1" s="1"/>
  <c r="AX202" i="1" s="1"/>
  <c r="AY202" i="1" s="1"/>
  <c r="AI255" i="1" l="1"/>
  <c r="AH255" i="1" s="1"/>
  <c r="AM254" i="1"/>
  <c r="AQ254" i="1"/>
  <c r="AR254" i="1" s="1"/>
  <c r="AS254" i="1" s="1"/>
  <c r="AT254" i="1"/>
  <c r="AU254" i="1" s="1"/>
  <c r="AV254" i="1" s="1"/>
  <c r="AN254" i="1"/>
  <c r="AO254" i="1" s="1"/>
  <c r="AP254" i="1" s="1"/>
  <c r="AZ202" i="1"/>
  <c r="BA202" i="1" s="1"/>
  <c r="BB202" i="1" s="1"/>
  <c r="AX203" i="1" s="1"/>
  <c r="AI256" i="1" l="1"/>
  <c r="AH256" i="1" s="1"/>
  <c r="AQ255" i="1"/>
  <c r="AR255" i="1" s="1"/>
  <c r="AS255" i="1" s="1"/>
  <c r="AT255" i="1"/>
  <c r="AU255" i="1" s="1"/>
  <c r="AV255" i="1" s="1"/>
  <c r="AN255" i="1"/>
  <c r="AO255" i="1" s="1"/>
  <c r="AP255" i="1" s="1"/>
  <c r="AM255" i="1"/>
  <c r="AZ203" i="1"/>
  <c r="AY203" i="1"/>
  <c r="AI257" i="1" l="1"/>
  <c r="AH257" i="1" s="1"/>
  <c r="AQ256" i="1"/>
  <c r="AR256" i="1" s="1"/>
  <c r="AS256" i="1" s="1"/>
  <c r="AM256" i="1"/>
  <c r="AT256" i="1"/>
  <c r="AU256" i="1" s="1"/>
  <c r="AV256" i="1" s="1"/>
  <c r="AN256" i="1"/>
  <c r="AO256" i="1" s="1"/>
  <c r="AP256" i="1" s="1"/>
  <c r="BA203" i="1"/>
  <c r="BB203" i="1" s="1"/>
  <c r="AX204" i="1" s="1"/>
  <c r="AZ204" i="1" s="1"/>
  <c r="AI258" i="1" l="1"/>
  <c r="AH258" i="1" s="1"/>
  <c r="AQ257" i="1"/>
  <c r="AR257" i="1" s="1"/>
  <c r="AS257" i="1" s="1"/>
  <c r="BJ57" i="1" s="1"/>
  <c r="BM57" i="1" s="1"/>
  <c r="AM257" i="1"/>
  <c r="BH57" i="1" s="1"/>
  <c r="BK57" i="1" s="1"/>
  <c r="AN257" i="1"/>
  <c r="AO257" i="1" s="1"/>
  <c r="AP257" i="1" s="1"/>
  <c r="BI57" i="1" s="1"/>
  <c r="BL57" i="1" s="1"/>
  <c r="AT257" i="1"/>
  <c r="AU257" i="1" s="1"/>
  <c r="AV257" i="1" s="1"/>
  <c r="AY204" i="1"/>
  <c r="BA204" i="1" s="1"/>
  <c r="BB204" i="1" s="1"/>
  <c r="AX205" i="1" s="1"/>
  <c r="AZ205" i="1" s="1"/>
  <c r="AI259" i="1" l="1"/>
  <c r="AH259" i="1" s="1"/>
  <c r="AN258" i="1"/>
  <c r="AO258" i="1" s="1"/>
  <c r="AP258" i="1" s="1"/>
  <c r="AT258" i="1"/>
  <c r="AU258" i="1" s="1"/>
  <c r="AV258" i="1" s="1"/>
  <c r="AM258" i="1"/>
  <c r="AQ258" i="1"/>
  <c r="AR258" i="1" s="1"/>
  <c r="AS258" i="1" s="1"/>
  <c r="BN57" i="1"/>
  <c r="BO57" i="1"/>
  <c r="BP57" i="1"/>
  <c r="AY205" i="1"/>
  <c r="BA205" i="1" s="1"/>
  <c r="BB205" i="1" s="1"/>
  <c r="AX206" i="1" s="1"/>
  <c r="AY206" i="1" s="1"/>
  <c r="AM259" i="1" l="1"/>
  <c r="AT259" i="1"/>
  <c r="AU259" i="1" s="1"/>
  <c r="AV259" i="1" s="1"/>
  <c r="AN259" i="1"/>
  <c r="AO259" i="1" s="1"/>
  <c r="AP259" i="1" s="1"/>
  <c r="AQ259" i="1"/>
  <c r="AR259" i="1" s="1"/>
  <c r="AS259" i="1" s="1"/>
  <c r="AZ206" i="1"/>
  <c r="BA206" i="1" s="1"/>
  <c r="BB206" i="1" s="1"/>
  <c r="AX207" i="1" s="1"/>
  <c r="AY207" i="1" l="1"/>
  <c r="AZ207" i="1"/>
  <c r="BA207" i="1" l="1"/>
  <c r="BB207" i="1" s="1"/>
  <c r="AX208" i="1" s="1"/>
  <c r="AZ208" i="1" l="1"/>
  <c r="AY208" i="1"/>
  <c r="BA208" i="1" l="1"/>
  <c r="BB208" i="1" s="1"/>
  <c r="AX209" i="1" s="1"/>
  <c r="AZ209" i="1" s="1"/>
  <c r="AY209" i="1" l="1"/>
  <c r="BA209" i="1" s="1"/>
  <c r="BB209" i="1" s="1"/>
  <c r="AX210" i="1" s="1"/>
  <c r="AZ210" i="1" s="1"/>
  <c r="AY210" i="1" l="1"/>
  <c r="BA210" i="1" s="1"/>
  <c r="BB210" i="1" s="1"/>
  <c r="AX211" i="1" s="1"/>
  <c r="AY211" i="1" s="1"/>
  <c r="AZ211" i="1" l="1"/>
  <c r="BA211" i="1" s="1"/>
  <c r="BB211" i="1" s="1"/>
  <c r="AX212" i="1" s="1"/>
  <c r="AZ212" i="1" s="1"/>
  <c r="AY212" i="1" l="1"/>
  <c r="BA212" i="1" s="1"/>
  <c r="BB212" i="1" s="1"/>
  <c r="AX213" i="1" s="1"/>
  <c r="AZ213" i="1" l="1"/>
  <c r="AY213" i="1"/>
  <c r="BA213" i="1" l="1"/>
  <c r="BB213" i="1" s="1"/>
  <c r="AX214" i="1" s="1"/>
  <c r="AZ214" i="1" s="1"/>
  <c r="AY214" i="1" l="1"/>
  <c r="BA214" i="1" s="1"/>
  <c r="BB214" i="1" s="1"/>
  <c r="AX215" i="1" s="1"/>
  <c r="AZ215" i="1" s="1"/>
  <c r="AY215" i="1" l="1"/>
  <c r="BA215" i="1" s="1"/>
  <c r="BB215" i="1" s="1"/>
  <c r="AX216" i="1" s="1"/>
  <c r="AY216" i="1" s="1"/>
  <c r="AZ216" i="1" l="1"/>
  <c r="BA216" i="1" s="1"/>
  <c r="BB216" i="1" s="1"/>
  <c r="AX217" i="1" s="1"/>
  <c r="AY217" i="1" s="1"/>
  <c r="AZ217" i="1" l="1"/>
  <c r="BA217" i="1" s="1"/>
  <c r="BB217" i="1" s="1"/>
  <c r="AX218" i="1" s="1"/>
  <c r="AZ218" i="1" s="1"/>
  <c r="AY218" i="1" l="1"/>
  <c r="BA218" i="1" s="1"/>
  <c r="BB218" i="1" s="1"/>
  <c r="AX219" i="1" s="1"/>
  <c r="AY219" i="1" l="1"/>
  <c r="AZ219" i="1"/>
  <c r="BA219" i="1" l="1"/>
  <c r="BB219" i="1" s="1"/>
  <c r="AX220" i="1" s="1"/>
  <c r="AZ220" i="1" s="1"/>
  <c r="AY220" i="1" l="1"/>
  <c r="BA220" i="1" s="1"/>
  <c r="BB220" i="1" s="1"/>
  <c r="AX221" i="1" s="1"/>
  <c r="AZ221" i="1" s="1"/>
  <c r="AY221" i="1" l="1"/>
  <c r="BA221" i="1" s="1"/>
  <c r="BB221" i="1" s="1"/>
  <c r="AX222" i="1" s="1"/>
  <c r="AZ222" i="1" s="1"/>
  <c r="AY222" i="1" l="1"/>
  <c r="BA222" i="1" s="1"/>
  <c r="BB222" i="1" s="1"/>
  <c r="AX223" i="1" s="1"/>
  <c r="AZ223" i="1" s="1"/>
  <c r="AY223" i="1" l="1"/>
  <c r="BA223" i="1" s="1"/>
  <c r="BB223" i="1" s="1"/>
  <c r="AX224" i="1" s="1"/>
  <c r="AY224" i="1" s="1"/>
  <c r="AZ224" i="1" l="1"/>
  <c r="BA224" i="1" s="1"/>
  <c r="BB224" i="1" s="1"/>
  <c r="AX225" i="1" s="1"/>
  <c r="AY225" i="1" l="1"/>
  <c r="AZ225" i="1"/>
  <c r="BA225" i="1" l="1"/>
  <c r="BB225" i="1" s="1"/>
  <c r="AX226" i="1" s="1"/>
  <c r="AY226" i="1" l="1"/>
  <c r="AZ226" i="1"/>
  <c r="BA226" i="1" l="1"/>
  <c r="BB226" i="1" s="1"/>
  <c r="AX227" i="1" s="1"/>
  <c r="AY227" i="1" l="1"/>
  <c r="AZ227" i="1"/>
  <c r="BA227" i="1" l="1"/>
  <c r="BB227" i="1" s="1"/>
  <c r="AX228" i="1" s="1"/>
  <c r="AZ228" i="1" s="1"/>
  <c r="AY228" i="1" l="1"/>
  <c r="BA228" i="1" s="1"/>
  <c r="BB228" i="1" s="1"/>
  <c r="AX229" i="1" s="1"/>
  <c r="AZ229" i="1" s="1"/>
  <c r="AY229" i="1" l="1"/>
  <c r="BA229" i="1" s="1"/>
  <c r="BB229" i="1" s="1"/>
  <c r="AX230" i="1" s="1"/>
  <c r="AY230" i="1" s="1"/>
  <c r="AZ230" i="1" l="1"/>
  <c r="BA230" i="1" s="1"/>
  <c r="BB230" i="1" s="1"/>
  <c r="AX231" i="1" s="1"/>
  <c r="AZ231" i="1" s="1"/>
  <c r="AY231" i="1" l="1"/>
  <c r="BA231" i="1" s="1"/>
  <c r="BB231" i="1" s="1"/>
  <c r="AX232" i="1" s="1"/>
  <c r="AZ232" i="1" s="1"/>
  <c r="AY232" i="1" l="1"/>
  <c r="BA232" i="1" s="1"/>
  <c r="BB232" i="1" s="1"/>
  <c r="AX233" i="1" s="1"/>
  <c r="AZ233" i="1" l="1"/>
  <c r="AY233" i="1"/>
  <c r="BA233" i="1" l="1"/>
  <c r="BB233" i="1" s="1"/>
  <c r="AX234" i="1" s="1"/>
  <c r="AZ234" i="1" s="1"/>
  <c r="AY234" i="1" l="1"/>
  <c r="BA234" i="1" s="1"/>
  <c r="BB234" i="1" s="1"/>
  <c r="AX235" i="1" s="1"/>
  <c r="AZ235" i="1" s="1"/>
  <c r="AY235" i="1" l="1"/>
  <c r="BA235" i="1" s="1"/>
  <c r="BB235" i="1" s="1"/>
  <c r="AX236" i="1" s="1"/>
  <c r="AY236" i="1" l="1"/>
  <c r="AZ236" i="1"/>
  <c r="BA236" i="1" l="1"/>
  <c r="BB236" i="1" s="1"/>
  <c r="AX237" i="1" s="1"/>
  <c r="AY237" i="1" s="1"/>
  <c r="AZ237" i="1" l="1"/>
  <c r="BA237" i="1" s="1"/>
  <c r="BB237" i="1" s="1"/>
  <c r="AX238" i="1" s="1"/>
  <c r="AZ238" i="1" l="1"/>
  <c r="AY238" i="1"/>
  <c r="BA238" i="1" l="1"/>
  <c r="BB238" i="1" s="1"/>
  <c r="AX239" i="1" s="1"/>
  <c r="AZ239" i="1" s="1"/>
  <c r="AY239" i="1" l="1"/>
  <c r="BA239" i="1" s="1"/>
  <c r="BB239" i="1" s="1"/>
  <c r="AX240" i="1" s="1"/>
  <c r="AY240" i="1" s="1"/>
  <c r="AZ240" i="1" l="1"/>
  <c r="BA240" i="1" s="1"/>
  <c r="BB240" i="1" s="1"/>
  <c r="AX241" i="1" s="1"/>
  <c r="AZ241" i="1" s="1"/>
  <c r="AY241" i="1" l="1"/>
  <c r="BA241" i="1" s="1"/>
  <c r="BB241" i="1" s="1"/>
  <c r="AX242" i="1" s="1"/>
  <c r="AZ242" i="1" l="1"/>
  <c r="AY242" i="1"/>
  <c r="BA242" i="1" l="1"/>
  <c r="BB242" i="1" s="1"/>
  <c r="AX243" i="1" s="1"/>
  <c r="AY243" i="1" s="1"/>
  <c r="AZ243" i="1" l="1"/>
  <c r="BA243" i="1" s="1"/>
  <c r="BB243" i="1" s="1"/>
  <c r="AX244" i="1" s="1"/>
  <c r="AY244" i="1" s="1"/>
  <c r="AZ244" i="1" l="1"/>
  <c r="BA244" i="1" s="1"/>
  <c r="BB244" i="1" s="1"/>
  <c r="AX245" i="1" s="1"/>
  <c r="AY245" i="1" l="1"/>
  <c r="AZ245" i="1"/>
  <c r="BA245" i="1" l="1"/>
  <c r="BB245" i="1" s="1"/>
  <c r="AX246" i="1" s="1"/>
  <c r="AY246" i="1" l="1"/>
  <c r="AZ246" i="1"/>
  <c r="BA246" i="1" l="1"/>
  <c r="BB246" i="1" s="1"/>
  <c r="AX247" i="1" s="1"/>
  <c r="AZ247" i="1" s="1"/>
  <c r="AY247" i="1" l="1"/>
  <c r="BA247" i="1" s="1"/>
  <c r="BB247" i="1" s="1"/>
  <c r="AX248" i="1" s="1"/>
  <c r="AZ248" i="1" s="1"/>
  <c r="AY248" i="1" l="1"/>
  <c r="BA248" i="1" s="1"/>
  <c r="BB248" i="1" s="1"/>
  <c r="AX249" i="1" s="1"/>
  <c r="AY249" i="1" s="1"/>
  <c r="AZ249" i="1" l="1"/>
  <c r="BA249" i="1" s="1"/>
  <c r="BB249" i="1" s="1"/>
  <c r="AX250" i="1" s="1"/>
  <c r="AY250" i="1" s="1"/>
  <c r="AZ250" i="1" l="1"/>
  <c r="BA250" i="1" s="1"/>
  <c r="BB250" i="1" s="1"/>
  <c r="AX251" i="1" s="1"/>
  <c r="AY251" i="1" s="1"/>
  <c r="AZ251" i="1" l="1"/>
  <c r="BA251" i="1" s="1"/>
  <c r="BB251" i="1" s="1"/>
  <c r="AX252" i="1" s="1"/>
  <c r="AY252" i="1" l="1"/>
  <c r="AZ252" i="1"/>
  <c r="BA252" i="1" l="1"/>
  <c r="BB252" i="1" s="1"/>
  <c r="AX253" i="1" s="1"/>
  <c r="AY253" i="1" l="1"/>
  <c r="AZ253" i="1"/>
  <c r="BA253" i="1" l="1"/>
  <c r="BB253" i="1" s="1"/>
  <c r="AX254" i="1" s="1"/>
  <c r="AY254" i="1" s="1"/>
  <c r="AZ254" i="1" l="1"/>
  <c r="BA254" i="1" s="1"/>
  <c r="BB254" i="1" s="1"/>
  <c r="AX255" i="1" s="1"/>
  <c r="AZ255" i="1" l="1"/>
  <c r="AY255" i="1"/>
  <c r="BA255" i="1" l="1"/>
  <c r="BB255" i="1" s="1"/>
  <c r="AX256" i="1" s="1"/>
  <c r="AY256" i="1" s="1"/>
  <c r="AZ256" i="1" l="1"/>
  <c r="BA256" i="1" s="1"/>
  <c r="BB256" i="1" s="1"/>
  <c r="AX257" i="1" s="1"/>
  <c r="AZ257" i="1" s="1"/>
  <c r="AY257" i="1" l="1"/>
  <c r="BA257" i="1" s="1"/>
  <c r="BB257" i="1" s="1"/>
  <c r="AX258" i="1" s="1"/>
  <c r="AY258" i="1" s="1"/>
  <c r="AZ258" i="1" l="1"/>
  <c r="BA258" i="1" s="1"/>
  <c r="BB258" i="1" s="1"/>
  <c r="AX259" i="1" s="1"/>
  <c r="AZ259" i="1" s="1"/>
  <c r="AY259" i="1" l="1"/>
  <c r="BA259" i="1" s="1"/>
  <c r="BB259" i="1" s="1"/>
  <c r="AC8" i="1" s="1"/>
  <c r="F18" i="2" s="1"/>
  <c r="AC16" i="1" l="1"/>
  <c r="AC17" i="1" l="1"/>
  <c r="AO3" i="1" s="1"/>
  <c r="F20" i="2" l="1"/>
  <c r="F21" i="2" s="1"/>
  <c r="AO4" i="1"/>
  <c r="AC18" i="1"/>
  <c r="F19" i="2" l="1"/>
  <c r="F22" i="2" s="1"/>
</calcChain>
</file>

<file path=xl/sharedStrings.xml><?xml version="1.0" encoding="utf-8"?>
<sst xmlns="http://schemas.openxmlformats.org/spreadsheetml/2006/main" count="172" uniqueCount="154">
  <si>
    <t>non int bearing</t>
  </si>
  <si>
    <t>total o/s</t>
  </si>
  <si>
    <t>#year</t>
  </si>
  <si>
    <t>month</t>
  </si>
  <si>
    <t>year</t>
  </si>
  <si>
    <t>age</t>
  </si>
  <si>
    <t># instalm</t>
  </si>
  <si>
    <t>o/s princ</t>
  </si>
  <si>
    <t>one off</t>
  </si>
  <si>
    <t>haircut</t>
  </si>
  <si>
    <t>rate</t>
  </si>
  <si>
    <t>interest</t>
  </si>
  <si>
    <t>inst amount</t>
  </si>
  <si>
    <t>capital</t>
  </si>
  <si>
    <t xml:space="preserve">o/s end </t>
  </si>
  <si>
    <t>initial amount as per letter</t>
  </si>
  <si>
    <t>settlement term (years)</t>
  </si>
  <si>
    <t>Δάνειο SO</t>
  </si>
  <si>
    <t>Κεφάλαιο</t>
  </si>
  <si>
    <t>Τόκοι</t>
  </si>
  <si>
    <t>Δάνειο ΑΜΚ</t>
  </si>
  <si>
    <t>Both</t>
  </si>
  <si>
    <t>end of 25% discount period</t>
  </si>
  <si>
    <t>https://www.emmi-benchmarks.eu/benchmarks/euribor/</t>
  </si>
  <si>
    <t>European Central Bank (europa.eu)</t>
  </si>
  <si>
    <t>Euribor chart - graphs with historical Euribor rates (euribor-rates.eu)</t>
  </si>
  <si>
    <t>Βασικά επιτόκια της ΕΚΤ (bankofgreece.gr)</t>
  </si>
  <si>
    <t>Spread</t>
  </si>
  <si>
    <t>N</t>
  </si>
  <si>
    <t>Μήνας</t>
  </si>
  <si>
    <t>Eur3M</t>
  </si>
  <si>
    <t>EKT</t>
  </si>
  <si>
    <t>Δάνειο</t>
  </si>
  <si>
    <t>date</t>
  </si>
  <si>
    <t>Δbps cum</t>
  </si>
  <si>
    <t>ημέρα</t>
  </si>
  <si>
    <t>δόση 20χρ</t>
  </si>
  <si>
    <t>δόση 25χρ</t>
  </si>
  <si>
    <t>δόση 30χρ</t>
  </si>
  <si>
    <t>Δ%20χρ</t>
  </si>
  <si>
    <t>Δ%25χρ</t>
  </si>
  <si>
    <t>Δ%30χρ</t>
  </si>
  <si>
    <t>points</t>
  </si>
  <si>
    <t>Δ€20χρ</t>
  </si>
  <si>
    <t>Δ€30χρ</t>
  </si>
  <si>
    <t>Δ€25χρ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</si>
  <si>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</si>
  <si>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</si>
  <si>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</si>
  <si>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</si>
  <si>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</si>
  <si>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</si>
  <si>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</si>
  <si>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</si>
  <si>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</si>
  <si>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</si>
  <si>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</si>
  <si>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x1</t>
  </si>
  <si>
    <t>x2</t>
  </si>
  <si>
    <t>y1</t>
  </si>
  <si>
    <t>y2</t>
  </si>
  <si>
    <t>pace</t>
  </si>
  <si>
    <t>spread</t>
  </si>
  <si>
    <t>Δ%325χρ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</si>
  <si>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</si>
  <si>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</si>
  <si>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</si>
  <si>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</si>
  <si>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</si>
  <si>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</si>
  <si>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</si>
  <si>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</si>
  <si>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</si>
  <si>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</si>
  <si>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</si>
  <si>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</si>
  <si>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</si>
  <si>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</si>
  <si>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</si>
  <si>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</si>
  <si>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</si>
  <si>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</si>
  <si>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</si>
  <si>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</si>
  <si>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</si>
  <si>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</si>
  <si>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</si>
  <si>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</si>
  <si>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</si>
  <si>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</si>
  <si>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</si>
  <si>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</si>
  <si>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</si>
  <si>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</si>
  <si>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</si>
  <si>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</si>
  <si>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</si>
  <si>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</si>
  <si>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</si>
  <si>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</si>
  <si>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</si>
  <si>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</si>
  <si>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</si>
  <si>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</si>
  <si>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Query section</t>
  </si>
  <si>
    <t>Residual term (years)</t>
  </si>
  <si>
    <t>Spread on Eur3M</t>
  </si>
  <si>
    <t>Inst at start</t>
  </si>
  <si>
    <t>Target date</t>
  </si>
  <si>
    <t>Inst projected</t>
  </si>
  <si>
    <t>Δ€ of instalment</t>
  </si>
  <si>
    <t>Δ% of instalment</t>
  </si>
  <si>
    <t>Interest rate at start</t>
  </si>
  <si>
    <t>Projected interest rate</t>
  </si>
  <si>
    <t>Projected Eur3M</t>
  </si>
  <si>
    <t>Residual o/s loan</t>
  </si>
  <si>
    <t>daily amortization</t>
  </si>
  <si>
    <t>Υπολειπόμενη διάρκεια δανείου (σε χρόνια)</t>
  </si>
  <si>
    <t>Περιθώριο επιτοκίου πάνω από το Euribor τριών μηνών</t>
  </si>
  <si>
    <t>Ημερομηνία που θέλω να υπολογίσω πόση θα είναι η δόση μου</t>
  </si>
  <si>
    <t>ή σε ποσοστό</t>
  </si>
  <si>
    <t>Υπόλοιπο του δανείου μου πρίν αρχίσουν οι αυξήσεις επιτοκίων (Ιούλιος 2022)</t>
  </si>
  <si>
    <t>Το μηνιαίο εισόδημά μου</t>
  </si>
  <si>
    <t>Δώστε τα στοιχεία</t>
  </si>
  <si>
    <t>Η τοκοχρεολυτική μηνιαία δόση του δανείου μου</t>
  </si>
  <si>
    <t>Το επιτόκιο του δανείου μου</t>
  </si>
  <si>
    <t>Πρίν αρχίσουν οι αυξήσεις επιτοκίων</t>
  </si>
  <si>
    <t>Η δόση μου ως ποσοστό του εισοδήματός μου</t>
  </si>
  <si>
    <t>Νόμος</t>
  </si>
  <si>
    <t>Στεγαστικό</t>
  </si>
  <si>
    <t>Καταναλωτικό</t>
  </si>
  <si>
    <t>Το υπόλοιπο του δανείου μου θα έχει μειωθεί σε,</t>
  </si>
  <si>
    <t>Το επιτόκιο του δανείου μου θα έχει διαμορφωθεί σε,</t>
  </si>
  <si>
    <t>Η μηνιαία δόση του δανείου μου θα είναι,</t>
  </si>
  <si>
    <t>Η διαφορά στη μηνιαία δόση από την αρχή αύξησης των επιτοκίων,</t>
  </si>
  <si>
    <t>(*) Αφορά δάνεια με επιτόκιο βασισμένο στο Euribor 3 μηνών</t>
  </si>
  <si>
    <t>Αρχική δόση</t>
  </si>
  <si>
    <t>Αύξηση δόσης</t>
  </si>
  <si>
    <t>Υποθέσεις</t>
  </si>
  <si>
    <t>Εκτιμήσεις</t>
  </si>
  <si>
    <t>Η δόση μου ως ποσοστό του εισοδήματός μου θα έχει γίνει,</t>
  </si>
  <si>
    <t>Νέα δόση</t>
  </si>
  <si>
    <t>(**) Η εξέλιξη του Eur3M από την τρέχουσα ημερομηνία μέχρι την ημερομηνία της εκτίμησης, έχει υποτεθεί γραμμική</t>
  </si>
  <si>
    <r>
      <t xml:space="preserve">Το δάνειό μου είναι </t>
    </r>
    <r>
      <rPr>
        <sz val="8"/>
        <color theme="0"/>
        <rFont val="Arial Nova"/>
        <family val="2"/>
      </rPr>
      <t>(*)</t>
    </r>
  </si>
  <si>
    <r>
      <t>Υπόθεση για το Euribor 3 μηνών στην ημερομηνία αυτή</t>
    </r>
    <r>
      <rPr>
        <sz val="8"/>
        <color theme="1"/>
        <rFont val="Arial Nova"/>
        <family val="2"/>
      </rPr>
      <t xml:space="preserve"> (**)</t>
    </r>
  </si>
  <si>
    <t xml:space="preserve">daily Δ of Eur3M todate bps = </t>
  </si>
  <si>
    <t>cum bps progression</t>
  </si>
  <si>
    <t>daily Δ of Eur3M last 7d</t>
  </si>
  <si>
    <t>Μέσο ημερήσιο βήμα Euribor 3 μηνών από 14/7/22</t>
  </si>
  <si>
    <t>Μέσο ημερήσιο βήμα Euribor 3 μηνών τελευταίες 7 ημέρες</t>
  </si>
  <si>
    <t>Ημερήσια μεταβολή Eur3M (bps)</t>
  </si>
  <si>
    <t>7days rolling</t>
  </si>
  <si>
    <t>Δείτε τις επίσημες τιμές Euribor, εδώ, τελευταία διαθέσιμη για την ημερομηνία</t>
  </si>
  <si>
    <t>Εισάγετε αυτή την τιμή από την πρώτη γραμμή του αριστερού πίνακα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</si>
</sst>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%"/>
    <numFmt numFmtId="165" formatCode="[$-408]mmm\-yy;@"/>
    <numFmt numFmtId="166" formatCode="0.0%"/>
    <numFmt numFmtId="167" formatCode="[$-408]d\-mmm;@"/>
    <numFmt numFmtId="168" formatCode="#,##0.0000000"/>
    <numFmt numFmtId="169" formatCode="d/m/yyyy;@"/>
    <numFmt numFmtId="170" formatCode="#,##0.00\ &quot;€&quot;"/>
    <numFmt numFmtId="171" formatCode="#,##0\ &quot;€&quot;"/>
    <numFmt numFmtId="172" formatCode="[$-408]d\-mmm\-yy;@"/>
    <numFmt numFmtId="173" formatCode="0.0000000000"/>
    <numFmt numFmtId="174" formatCode="#,##0.0000000000"/>
    <numFmt numFmtId="175" formatCode="[$-408]dd\-mmm\-yy;@"/>
  </numFmts>
  <fonts count="23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Arial Nova"/>
      <family val="2"/>
    </font>
    <font>
      <sz val="9"/>
      <color rgb="FFFF0000"/>
      <name val="Arial Nova"/>
      <family val="2"/>
    </font>
    <font>
      <sz val="9"/>
      <color theme="1"/>
      <name val="Calibri"/>
      <family val="2"/>
      <charset val="161"/>
      <scheme val="minor"/>
    </font>
    <font>
      <b/>
      <sz val="9"/>
      <name val="Arial Nova"/>
      <family val="2"/>
    </font>
    <font>
      <b/>
      <sz val="9"/>
      <color rgb="FFFF0000"/>
      <name val="Arial Nova"/>
      <family val="2"/>
    </font>
    <font>
      <sz val="9"/>
      <color theme="1"/>
      <name val="Arial Nova"/>
      <family val="2"/>
    </font>
    <font>
      <b/>
      <sz val="9"/>
      <color rgb="FF0070C0"/>
      <name val="Arial Nova"/>
      <family val="2"/>
    </font>
    <font>
      <b/>
      <sz val="9"/>
      <color rgb="FF0070C0"/>
      <name val="Arial Nova"/>
      <family val="2"/>
      <charset val="161"/>
    </font>
    <font>
      <u/>
      <sz val="9"/>
      <color theme="10"/>
      <name val="Calibri"/>
      <family val="2"/>
      <charset val="161"/>
      <scheme val="minor"/>
    </font>
    <font>
      <sz val="11"/>
      <color theme="1"/>
      <name val="Arial Nova"/>
      <family val="2"/>
    </font>
    <font>
      <b/>
      <sz val="11"/>
      <color theme="0"/>
      <name val="Arial Nova"/>
      <family val="2"/>
    </font>
    <font>
      <b/>
      <sz val="11"/>
      <color theme="1"/>
      <name val="Arial Nova"/>
      <family val="2"/>
    </font>
    <font>
      <sz val="7"/>
      <color theme="1"/>
      <name val="Arial Nova"/>
      <family val="2"/>
    </font>
    <font>
      <sz val="11"/>
      <color theme="0"/>
      <name val="Arial Nova"/>
      <family val="2"/>
    </font>
    <font>
      <sz val="8"/>
      <color theme="0"/>
      <name val="Arial Nova"/>
      <family val="2"/>
    </font>
    <font>
      <sz val="8"/>
      <color theme="1"/>
      <name val="Arial Nova"/>
      <family val="2"/>
    </font>
    <font>
      <u/>
      <sz val="9"/>
      <color theme="10"/>
      <name val="Arial Nova"/>
      <family val="2"/>
    </font>
    <font>
      <b/>
      <sz val="9"/>
      <color rgb="FF0070C0"/>
      <name val="Calibri"/>
      <family val="2"/>
      <scheme val="minor"/>
    </font>
    <font>
      <b/>
      <sz val="9"/>
      <color theme="0"/>
      <name val="Arial Nov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/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/>
    <xf numFmtId="167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0" fontId="4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9" fontId="4" fillId="0" borderId="0" xfId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10" fontId="4" fillId="0" borderId="1" xfId="1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166" fontId="4" fillId="0" borderId="1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10" fontId="4" fillId="2" borderId="0" xfId="1" applyNumberFormat="1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164" fontId="5" fillId="3" borderId="0" xfId="1" applyNumberFormat="1" applyFont="1" applyFill="1" applyAlignment="1">
      <alignment vertical="center"/>
    </xf>
    <xf numFmtId="10" fontId="4" fillId="3" borderId="0" xfId="1" applyNumberFormat="1" applyFont="1" applyFill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0" fontId="4" fillId="3" borderId="1" xfId="1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/>
    <xf numFmtId="1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9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17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3" fontId="6" fillId="0" borderId="0" xfId="0" applyNumberFormat="1" applyFont="1"/>
    <xf numFmtId="173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173" fontId="4" fillId="0" borderId="0" xfId="1" applyNumberFormat="1" applyFont="1" applyAlignment="1">
      <alignment horizontal="center" vertical="center"/>
    </xf>
    <xf numFmtId="174" fontId="4" fillId="0" borderId="1" xfId="0" applyNumberFormat="1" applyFont="1" applyBorder="1" applyAlignment="1">
      <alignment vertical="center"/>
    </xf>
    <xf numFmtId="4" fontId="4" fillId="0" borderId="0" xfId="1" applyNumberFormat="1" applyFont="1" applyAlignment="1">
      <alignment horizontal="center" vertical="center" wrapText="1"/>
    </xf>
    <xf numFmtId="4" fontId="4" fillId="0" borderId="0" xfId="1" applyNumberFormat="1" applyFont="1" applyAlignment="1">
      <alignment vertical="center" wrapText="1"/>
    </xf>
    <xf numFmtId="0" fontId="21" fillId="0" borderId="0" xfId="0" applyFont="1" applyAlignment="1">
      <alignment horizontal="center"/>
    </xf>
    <xf numFmtId="0" fontId="13" fillId="4" borderId="0" xfId="0" applyFont="1" applyFill="1" applyAlignment="1">
      <alignment vertical="center"/>
    </xf>
    <xf numFmtId="0" fontId="17" fillId="5" borderId="5" xfId="0" applyFont="1" applyFill="1" applyBorder="1" applyAlignment="1">
      <alignment vertical="center"/>
    </xf>
    <xf numFmtId="0" fontId="17" fillId="5" borderId="1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7" fillId="5" borderId="6" xfId="0" applyFont="1" applyFill="1" applyBorder="1" applyAlignment="1">
      <alignment vertical="center"/>
    </xf>
    <xf numFmtId="171" fontId="17" fillId="5" borderId="12" xfId="0" applyNumberFormat="1" applyFont="1" applyFill="1" applyBorder="1" applyAlignment="1">
      <alignment vertical="center"/>
    </xf>
    <xf numFmtId="170" fontId="13" fillId="4" borderId="0" xfId="0" applyNumberFormat="1" applyFont="1" applyFill="1" applyAlignment="1">
      <alignment vertical="center"/>
    </xf>
    <xf numFmtId="0" fontId="17" fillId="5" borderId="12" xfId="0" applyFont="1" applyFill="1" applyBorder="1" applyAlignment="1">
      <alignment vertical="center"/>
    </xf>
    <xf numFmtId="10" fontId="17" fillId="5" borderId="12" xfId="1" applyNumberFormat="1" applyFont="1" applyFill="1" applyBorder="1" applyAlignment="1">
      <alignment vertical="center"/>
    </xf>
    <xf numFmtId="10" fontId="13" fillId="4" borderId="0" xfId="1" applyNumberFormat="1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171" fontId="17" fillId="5" borderId="11" xfId="1" applyNumberFormat="1" applyFont="1" applyFill="1" applyBorder="1" applyAlignment="1">
      <alignment vertical="center"/>
    </xf>
    <xf numFmtId="170" fontId="13" fillId="4" borderId="0" xfId="1" applyNumberFormat="1" applyFont="1" applyFill="1" applyBorder="1" applyAlignment="1">
      <alignment vertical="center"/>
    </xf>
    <xf numFmtId="0" fontId="13" fillId="8" borderId="5" xfId="0" applyFont="1" applyFill="1" applyBorder="1" applyAlignment="1">
      <alignment vertical="center"/>
    </xf>
    <xf numFmtId="10" fontId="13" fillId="8" borderId="10" xfId="0" applyNumberFormat="1" applyFont="1" applyFill="1" applyBorder="1" applyAlignment="1">
      <alignment vertical="center"/>
    </xf>
    <xf numFmtId="10" fontId="13" fillId="4" borderId="0" xfId="0" applyNumberFormat="1" applyFont="1" applyFill="1" applyAlignment="1">
      <alignment vertical="center"/>
    </xf>
    <xf numFmtId="0" fontId="13" fillId="8" borderId="6" xfId="0" applyFont="1" applyFill="1" applyBorder="1" applyAlignment="1">
      <alignment vertical="center"/>
    </xf>
    <xf numFmtId="171" fontId="13" fillId="8" borderId="12" xfId="0" applyNumberFormat="1" applyFont="1" applyFill="1" applyBorder="1" applyAlignment="1">
      <alignment vertical="center"/>
    </xf>
    <xf numFmtId="4" fontId="13" fillId="4" borderId="0" xfId="0" applyNumberFormat="1" applyFont="1" applyFill="1" applyAlignment="1">
      <alignment vertical="center"/>
    </xf>
    <xf numFmtId="0" fontId="13" fillId="8" borderId="7" xfId="0" applyFont="1" applyFill="1" applyBorder="1" applyAlignment="1">
      <alignment vertical="center"/>
    </xf>
    <xf numFmtId="9" fontId="13" fillId="8" borderId="11" xfId="1" applyFont="1" applyFill="1" applyBorder="1" applyAlignment="1">
      <alignment vertical="center"/>
    </xf>
    <xf numFmtId="166" fontId="13" fillId="4" borderId="0" xfId="1" applyNumberFormat="1" applyFont="1" applyFill="1" applyBorder="1" applyAlignment="1">
      <alignment vertical="center"/>
    </xf>
    <xf numFmtId="0" fontId="13" fillId="6" borderId="5" xfId="0" applyFont="1" applyFill="1" applyBorder="1" applyAlignment="1">
      <alignment vertical="center"/>
    </xf>
    <xf numFmtId="169" fontId="13" fillId="6" borderId="10" xfId="0" applyNumberFormat="1" applyFont="1" applyFill="1" applyBorder="1" applyAlignment="1">
      <alignment vertical="center"/>
    </xf>
    <xf numFmtId="169" fontId="13" fillId="4" borderId="0" xfId="0" applyNumberFormat="1" applyFont="1" applyFill="1" applyAlignment="1">
      <alignment vertical="center"/>
    </xf>
    <xf numFmtId="0" fontId="13" fillId="6" borderId="7" xfId="0" applyFont="1" applyFill="1" applyBorder="1" applyAlignment="1">
      <alignment vertical="center"/>
    </xf>
    <xf numFmtId="10" fontId="13" fillId="6" borderId="11" xfId="1" applyNumberFormat="1" applyFont="1" applyFill="1" applyBorder="1" applyAlignment="1">
      <alignment vertical="center"/>
    </xf>
    <xf numFmtId="0" fontId="17" fillId="7" borderId="5" xfId="0" applyFont="1" applyFill="1" applyBorder="1" applyAlignment="1">
      <alignment vertical="center"/>
    </xf>
    <xf numFmtId="10" fontId="17" fillId="7" borderId="10" xfId="0" applyNumberFormat="1" applyFont="1" applyFill="1" applyBorder="1" applyAlignment="1">
      <alignment vertical="center"/>
    </xf>
    <xf numFmtId="0" fontId="17" fillId="7" borderId="6" xfId="0" applyFont="1" applyFill="1" applyBorder="1" applyAlignment="1">
      <alignment vertical="center"/>
    </xf>
    <xf numFmtId="171" fontId="17" fillId="7" borderId="12" xfId="0" applyNumberFormat="1" applyFont="1" applyFill="1" applyBorder="1" applyAlignment="1">
      <alignment vertical="center"/>
    </xf>
    <xf numFmtId="0" fontId="17" fillId="7" borderId="6" xfId="0" applyFont="1" applyFill="1" applyBorder="1" applyAlignment="1">
      <alignment horizontal="right" vertical="center"/>
    </xf>
    <xf numFmtId="9" fontId="17" fillId="7" borderId="12" xfId="1" applyFont="1" applyFill="1" applyBorder="1" applyAlignment="1">
      <alignment vertical="center"/>
    </xf>
    <xf numFmtId="0" fontId="17" fillId="7" borderId="7" xfId="0" applyFont="1" applyFill="1" applyBorder="1" applyAlignment="1">
      <alignment vertical="center"/>
    </xf>
    <xf numFmtId="9" fontId="17" fillId="7" borderId="11" xfId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4" fontId="9" fillId="4" borderId="0" xfId="0" applyNumberFormat="1" applyFont="1" applyFill="1" applyAlignment="1">
      <alignment horizontal="right" vertical="center"/>
    </xf>
    <xf numFmtId="0" fontId="20" fillId="4" borderId="0" xfId="2" applyFont="1" applyFill="1" applyAlignment="1">
      <alignment vertical="center"/>
    </xf>
    <xf numFmtId="0" fontId="9" fillId="4" borderId="0" xfId="0" applyFont="1" applyFill="1" applyBorder="1" applyAlignment="1">
      <alignment vertical="center"/>
    </xf>
    <xf numFmtId="164" fontId="22" fillId="9" borderId="0" xfId="1" applyNumberFormat="1" applyFont="1" applyFill="1" applyBorder="1" applyAlignment="1">
      <alignment vertical="center"/>
    </xf>
    <xf numFmtId="175" fontId="9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 horizontal="left" vertical="center"/>
    </xf>
    <xf numFmtId="172" fontId="13" fillId="4" borderId="0" xfId="0" applyNumberFormat="1" applyFont="1" applyFill="1" applyAlignment="1">
      <alignment horizontal="center" vertical="center"/>
    </xf>
    <xf numFmtId="0" fontId="13" fillId="8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left" vertical="center" wrapText="1"/>
    </xf>
    <xf numFmtId="167" fontId="4" fillId="0" borderId="0" xfId="0" applyNumberFormat="1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r>
              <a:rPr lang="el-GR" sz="1000" b="1" baseline="0">
                <a:latin typeface="Arial Nova" panose="020B0504020202020204" pitchFamily="34" charset="0"/>
              </a:rPr>
              <a:t>Προβλεπόμενη εξέλιξη διαστήματος για </a:t>
            </a:r>
            <a:r>
              <a:rPr lang="en-US" sz="1000" b="1" baseline="0">
                <a:latin typeface="Arial Nova" panose="020B0504020202020204" pitchFamily="34" charset="0"/>
              </a:rPr>
              <a:t>Euribor 3 </a:t>
            </a:r>
            <a:r>
              <a:rPr lang="el-GR" sz="1000" b="1" baseline="0">
                <a:latin typeface="Arial Nova" panose="020B0504020202020204" pitchFamily="34" charset="0"/>
              </a:rPr>
              <a:t>μηνών</a:t>
            </a:r>
            <a:endParaRPr lang="en-US" sz="1000" b="1">
              <a:latin typeface="Arial Nova" panose="020B05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ova" panose="020B0504020202020204" pitchFamily="34" charset="0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Sheet1!$AH$7:$AH$259</c:f>
              <c:numCache>
                <c:formatCode>0.000%</c:formatCode>
                <c:ptCount val="253"/>
                <c:pt idx="0">
                  <c:v>0</c:v>
                </c:pt>
                <c:pt idx="1">
                  <c:v>2.0000000000000002E-5</c:v>
                </c:pt>
                <c:pt idx="2">
                  <c:v>7.2000000000000005E-4</c:v>
                </c:pt>
                <c:pt idx="3">
                  <c:v>4.6999999999999999E-4</c:v>
                </c:pt>
                <c:pt idx="4">
                  <c:v>4.2000000000000002E-4</c:v>
                </c:pt>
                <c:pt idx="5">
                  <c:v>1.25E-3</c:v>
                </c:pt>
                <c:pt idx="6">
                  <c:v>1.4499999999999999E-3</c:v>
                </c:pt>
                <c:pt idx="7">
                  <c:v>2E-3</c:v>
                </c:pt>
                <c:pt idx="8">
                  <c:v>2.33E-3</c:v>
                </c:pt>
                <c:pt idx="9">
                  <c:v>2.1199999999999999E-3</c:v>
                </c:pt>
                <c:pt idx="10">
                  <c:v>2.3800000000000002E-3</c:v>
                </c:pt>
                <c:pt idx="11">
                  <c:v>2.6700000000000001E-3</c:v>
                </c:pt>
                <c:pt idx="12">
                  <c:v>2.32E-3</c:v>
                </c:pt>
                <c:pt idx="13">
                  <c:v>2.4599999999999999E-3</c:v>
                </c:pt>
                <c:pt idx="14">
                  <c:v>2.5999999999999999E-3</c:v>
                </c:pt>
                <c:pt idx="15">
                  <c:v>2.5200000000000001E-3</c:v>
                </c:pt>
                <c:pt idx="16">
                  <c:v>2.6900000000000001E-3</c:v>
                </c:pt>
                <c:pt idx="17">
                  <c:v>2.7699999999999999E-3</c:v>
                </c:pt>
                <c:pt idx="18">
                  <c:v>3.0100000000000001E-3</c:v>
                </c:pt>
                <c:pt idx="19">
                  <c:v>3.2100000000000002E-3</c:v>
                </c:pt>
                <c:pt idx="20">
                  <c:v>3.2499999999999999E-3</c:v>
                </c:pt>
                <c:pt idx="21">
                  <c:v>3.2100000000000002E-3</c:v>
                </c:pt>
                <c:pt idx="22">
                  <c:v>3.3300000000000001E-3</c:v>
                </c:pt>
                <c:pt idx="23">
                  <c:v>3.3899999999999998E-3</c:v>
                </c:pt>
                <c:pt idx="24">
                  <c:v>3.3300000000000001E-3</c:v>
                </c:pt>
                <c:pt idx="25">
                  <c:v>3.5100000000000001E-3</c:v>
                </c:pt>
                <c:pt idx="26">
                  <c:v>3.9100000000000003E-3</c:v>
                </c:pt>
                <c:pt idx="27">
                  <c:v>4.3E-3</c:v>
                </c:pt>
                <c:pt idx="28">
                  <c:v>4.5300000000000002E-3</c:v>
                </c:pt>
                <c:pt idx="29">
                  <c:v>4.6800000000000001E-3</c:v>
                </c:pt>
                <c:pt idx="30">
                  <c:v>4.9300000000000004E-3</c:v>
                </c:pt>
                <c:pt idx="31">
                  <c:v>5.1799999999999997E-3</c:v>
                </c:pt>
                <c:pt idx="32">
                  <c:v>5.4200000000000003E-3</c:v>
                </c:pt>
                <c:pt idx="33">
                  <c:v>5.8199999999999997E-3</c:v>
                </c:pt>
                <c:pt idx="34">
                  <c:v>6.1999999999999998E-3</c:v>
                </c:pt>
                <c:pt idx="35">
                  <c:v>6.5399999999999998E-3</c:v>
                </c:pt>
                <c:pt idx="36">
                  <c:v>7.1199999999999996E-3</c:v>
                </c:pt>
                <c:pt idx="37">
                  <c:v>7.6299999999999996E-3</c:v>
                </c:pt>
                <c:pt idx="38">
                  <c:v>7.8300000000000002E-3</c:v>
                </c:pt>
                <c:pt idx="39">
                  <c:v>8.1600000000000006E-3</c:v>
                </c:pt>
                <c:pt idx="40">
                  <c:v>8.2199999999999999E-3</c:v>
                </c:pt>
                <c:pt idx="41">
                  <c:v>8.3599999999999994E-3</c:v>
                </c:pt>
                <c:pt idx="42">
                  <c:v>9.3399999999999993E-3</c:v>
                </c:pt>
                <c:pt idx="43">
                  <c:v>9.8799999999999999E-3</c:v>
                </c:pt>
                <c:pt idx="44">
                  <c:v>0.01</c:v>
                </c:pt>
                <c:pt idx="45">
                  <c:v>1.013E-2</c:v>
                </c:pt>
                <c:pt idx="46">
                  <c:v>1.03E-2</c:v>
                </c:pt>
                <c:pt idx="47">
                  <c:v>1.0630000000000001E-2</c:v>
                </c:pt>
                <c:pt idx="48">
                  <c:v>1.0659999999999999E-2</c:v>
                </c:pt>
                <c:pt idx="49">
                  <c:v>1.0999999999999999E-2</c:v>
                </c:pt>
                <c:pt idx="50">
                  <c:v>1.1058303886925636E-2</c:v>
                </c:pt>
                <c:pt idx="51">
                  <c:v>1.1116607773851594E-2</c:v>
                </c:pt>
                <c:pt idx="52">
                  <c:v>1.1174911660777109E-2</c:v>
                </c:pt>
                <c:pt idx="53">
                  <c:v>1.1349823321554542E-2</c:v>
                </c:pt>
                <c:pt idx="54">
                  <c:v>1.1408127208480501E-2</c:v>
                </c:pt>
                <c:pt idx="55">
                  <c:v>1.1466431095406016E-2</c:v>
                </c:pt>
                <c:pt idx="56">
                  <c:v>1.1524734982331974E-2</c:v>
                </c:pt>
                <c:pt idx="57">
                  <c:v>1.1583038869257933E-2</c:v>
                </c:pt>
                <c:pt idx="58">
                  <c:v>1.1757950530035366E-2</c:v>
                </c:pt>
                <c:pt idx="59">
                  <c:v>1.1816254416961325E-2</c:v>
                </c:pt>
                <c:pt idx="60">
                  <c:v>1.1874558303887284E-2</c:v>
                </c:pt>
                <c:pt idx="61">
                  <c:v>1.1932862190812799E-2</c:v>
                </c:pt>
                <c:pt idx="62">
                  <c:v>1.1991166077738313E-2</c:v>
                </c:pt>
                <c:pt idx="63">
                  <c:v>1.2166077738515746E-2</c:v>
                </c:pt>
                <c:pt idx="64">
                  <c:v>1.2224381625441705E-2</c:v>
                </c:pt>
                <c:pt idx="65">
                  <c:v>1.228268551236722E-2</c:v>
                </c:pt>
                <c:pt idx="66">
                  <c:v>1.2340989399293179E-2</c:v>
                </c:pt>
                <c:pt idx="67">
                  <c:v>1.2399293286219137E-2</c:v>
                </c:pt>
                <c:pt idx="68">
                  <c:v>1.257420494699657E-2</c:v>
                </c:pt>
                <c:pt idx="69">
                  <c:v>1.2632508833922085E-2</c:v>
                </c:pt>
                <c:pt idx="70">
                  <c:v>1.2690812720848044E-2</c:v>
                </c:pt>
                <c:pt idx="71">
                  <c:v>1.2749116607774003E-2</c:v>
                </c:pt>
                <c:pt idx="72">
                  <c:v>1.2807420494699517E-2</c:v>
                </c:pt>
                <c:pt idx="73">
                  <c:v>1.298233215547695E-2</c:v>
                </c:pt>
                <c:pt idx="74">
                  <c:v>1.3040636042402909E-2</c:v>
                </c:pt>
                <c:pt idx="75">
                  <c:v>1.3098939929328868E-2</c:v>
                </c:pt>
                <c:pt idx="76">
                  <c:v>1.3157243816254827E-2</c:v>
                </c:pt>
                <c:pt idx="77">
                  <c:v>1.3215547703180341E-2</c:v>
                </c:pt>
                <c:pt idx="78">
                  <c:v>1.3390459363957774E-2</c:v>
                </c:pt>
                <c:pt idx="79">
                  <c:v>1.3448763250883289E-2</c:v>
                </c:pt>
                <c:pt idx="80">
                  <c:v>1.3507067137809248E-2</c:v>
                </c:pt>
                <c:pt idx="81">
                  <c:v>1.3565371024735207E-2</c:v>
                </c:pt>
                <c:pt idx="82">
                  <c:v>1.3623674911661166E-2</c:v>
                </c:pt>
                <c:pt idx="83">
                  <c:v>1.3798586572438598E-2</c:v>
                </c:pt>
                <c:pt idx="84">
                  <c:v>1.3856890459364113E-2</c:v>
                </c:pt>
                <c:pt idx="85">
                  <c:v>1.3915194346289628E-2</c:v>
                </c:pt>
                <c:pt idx="86">
                  <c:v>1.3973498233215587E-2</c:v>
                </c:pt>
                <c:pt idx="87">
                  <c:v>1.4031802120141545E-2</c:v>
                </c:pt>
                <c:pt idx="88">
                  <c:v>1.4206713780918978E-2</c:v>
                </c:pt>
                <c:pt idx="89">
                  <c:v>1.4265017667844493E-2</c:v>
                </c:pt>
                <c:pt idx="90">
                  <c:v>1.4323321554770452E-2</c:v>
                </c:pt>
                <c:pt idx="91">
                  <c:v>1.4381625441695967E-2</c:v>
                </c:pt>
                <c:pt idx="92">
                  <c:v>1.4439929328621925E-2</c:v>
                </c:pt>
                <c:pt idx="93">
                  <c:v>1.4614840989399358E-2</c:v>
                </c:pt>
                <c:pt idx="94">
                  <c:v>1.4673144876324873E-2</c:v>
                </c:pt>
                <c:pt idx="95">
                  <c:v>1.4731448763250832E-2</c:v>
                </c:pt>
                <c:pt idx="96">
                  <c:v>1.4789752650176347E-2</c:v>
                </c:pt>
                <c:pt idx="97">
                  <c:v>1.4848056537102305E-2</c:v>
                </c:pt>
                <c:pt idx="98">
                  <c:v>1.5022968197879294E-2</c:v>
                </c:pt>
                <c:pt idx="99">
                  <c:v>1.5081272084804809E-2</c:v>
                </c:pt>
                <c:pt idx="100">
                  <c:v>1.5139575971730324E-2</c:v>
                </c:pt>
                <c:pt idx="101">
                  <c:v>1.5197879858656282E-2</c:v>
                </c:pt>
                <c:pt idx="102">
                  <c:v>1.5256183745581797E-2</c:v>
                </c:pt>
                <c:pt idx="103">
                  <c:v>1.543109540635923E-2</c:v>
                </c:pt>
                <c:pt idx="104">
                  <c:v>1.5489399293284745E-2</c:v>
                </c:pt>
                <c:pt idx="105">
                  <c:v>1.5547703180210704E-2</c:v>
                </c:pt>
                <c:pt idx="106">
                  <c:v>1.5606007067136662E-2</c:v>
                </c:pt>
                <c:pt idx="107">
                  <c:v>1.5664310954062177E-2</c:v>
                </c:pt>
                <c:pt idx="108">
                  <c:v>1.583922261483961E-2</c:v>
                </c:pt>
                <c:pt idx="109">
                  <c:v>1.5897526501765569E-2</c:v>
                </c:pt>
                <c:pt idx="110">
                  <c:v>1.5955830388691528E-2</c:v>
                </c:pt>
                <c:pt idx="111">
                  <c:v>1.6014134275617486E-2</c:v>
                </c:pt>
                <c:pt idx="112">
                  <c:v>1.6072438162543445E-2</c:v>
                </c:pt>
                <c:pt idx="113">
                  <c:v>1.6247349823320434E-2</c:v>
                </c:pt>
                <c:pt idx="114">
                  <c:v>1.6305653710246393E-2</c:v>
                </c:pt>
                <c:pt idx="115">
                  <c:v>1.6363957597172352E-2</c:v>
                </c:pt>
                <c:pt idx="116">
                  <c:v>1.6422261484098311E-2</c:v>
                </c:pt>
                <c:pt idx="117">
                  <c:v>1.6480565371024269E-2</c:v>
                </c:pt>
                <c:pt idx="118">
                  <c:v>1.6655477031801702E-2</c:v>
                </c:pt>
                <c:pt idx="119">
                  <c:v>1.6713780918727661E-2</c:v>
                </c:pt>
                <c:pt idx="120">
                  <c:v>1.677208480565362E-2</c:v>
                </c:pt>
                <c:pt idx="121">
                  <c:v>1.6830388692579579E-2</c:v>
                </c:pt>
                <c:pt idx="122">
                  <c:v>1.6888692579505094E-2</c:v>
                </c:pt>
                <c:pt idx="123">
                  <c:v>1.7063604240282526E-2</c:v>
                </c:pt>
                <c:pt idx="124">
                  <c:v>1.7121908127208041E-2</c:v>
                </c:pt>
                <c:pt idx="125">
                  <c:v>1.7180212014134E-2</c:v>
                </c:pt>
                <c:pt idx="126">
                  <c:v>1.7238515901059515E-2</c:v>
                </c:pt>
                <c:pt idx="127">
                  <c:v>1.7296819787985473E-2</c:v>
                </c:pt>
                <c:pt idx="128">
                  <c:v>1.7471731448762906E-2</c:v>
                </c:pt>
                <c:pt idx="129">
                  <c:v>1.7530035335688865E-2</c:v>
                </c:pt>
                <c:pt idx="130">
                  <c:v>1.758833922261438E-2</c:v>
                </c:pt>
                <c:pt idx="131">
                  <c:v>1.7646643109539895E-2</c:v>
                </c:pt>
                <c:pt idx="132">
                  <c:v>1.7704946996465409E-2</c:v>
                </c:pt>
                <c:pt idx="133">
                  <c:v>1.7879858657242842E-2</c:v>
                </c:pt>
                <c:pt idx="134">
                  <c:v>1.7938162544168801E-2</c:v>
                </c:pt>
                <c:pt idx="135">
                  <c:v>1.799646643109476E-2</c:v>
                </c:pt>
                <c:pt idx="136">
                  <c:v>1.8054770318020719E-2</c:v>
                </c:pt>
                <c:pt idx="137">
                  <c:v>1.8113074204946233E-2</c:v>
                </c:pt>
                <c:pt idx="138">
                  <c:v>1.8287985865723222E-2</c:v>
                </c:pt>
                <c:pt idx="139">
                  <c:v>1.8346289752648737E-2</c:v>
                </c:pt>
                <c:pt idx="140">
                  <c:v>1.8404593639574252E-2</c:v>
                </c:pt>
                <c:pt idx="141">
                  <c:v>1.846289752650021E-2</c:v>
                </c:pt>
                <c:pt idx="142">
                  <c:v>1.8521201413425725E-2</c:v>
                </c:pt>
                <c:pt idx="143">
                  <c:v>1.8696113074203158E-2</c:v>
                </c:pt>
                <c:pt idx="144">
                  <c:v>1.8754416961128673E-2</c:v>
                </c:pt>
                <c:pt idx="145">
                  <c:v>1.8812720848054632E-2</c:v>
                </c:pt>
                <c:pt idx="146">
                  <c:v>1.887102473498059E-2</c:v>
                </c:pt>
                <c:pt idx="147">
                  <c:v>1.8929328621906549E-2</c:v>
                </c:pt>
                <c:pt idx="148">
                  <c:v>1.9104240282683982E-2</c:v>
                </c:pt>
                <c:pt idx="149">
                  <c:v>1.9162544169609497E-2</c:v>
                </c:pt>
                <c:pt idx="150">
                  <c:v>1.9220848056535456E-2</c:v>
                </c:pt>
                <c:pt idx="151">
                  <c:v>1.9279151943461414E-2</c:v>
                </c:pt>
                <c:pt idx="152">
                  <c:v>1.9337455830387373E-2</c:v>
                </c:pt>
                <c:pt idx="153">
                  <c:v>1.9512367491164806E-2</c:v>
                </c:pt>
                <c:pt idx="154">
                  <c:v>1.9570671378090321E-2</c:v>
                </c:pt>
                <c:pt idx="155">
                  <c:v>1.9628975265015836E-2</c:v>
                </c:pt>
                <c:pt idx="156">
                  <c:v>1.9687279151941794E-2</c:v>
                </c:pt>
                <c:pt idx="157">
                  <c:v>1.9745583038867753E-2</c:v>
                </c:pt>
                <c:pt idx="158">
                  <c:v>1.9920494699645186E-2</c:v>
                </c:pt>
                <c:pt idx="159">
                  <c:v>1.9978798586571145E-2</c:v>
                </c:pt>
                <c:pt idx="160">
                  <c:v>2.003710247349666E-2</c:v>
                </c:pt>
                <c:pt idx="161">
                  <c:v>2.0095406360422619E-2</c:v>
                </c:pt>
                <c:pt idx="162">
                  <c:v>2.0153710247348577E-2</c:v>
                </c:pt>
                <c:pt idx="163">
                  <c:v>2.032862190812601E-2</c:v>
                </c:pt>
                <c:pt idx="164">
                  <c:v>2.0386925795051969E-2</c:v>
                </c:pt>
                <c:pt idx="165">
                  <c:v>2.0445229681977484E-2</c:v>
                </c:pt>
                <c:pt idx="166">
                  <c:v>2.0503533568903443E-2</c:v>
                </c:pt>
                <c:pt idx="167">
                  <c:v>2.0561837455828957E-2</c:v>
                </c:pt>
                <c:pt idx="168">
                  <c:v>2.073674911660639E-2</c:v>
                </c:pt>
                <c:pt idx="169">
                  <c:v>2.0795053003532349E-2</c:v>
                </c:pt>
                <c:pt idx="170">
                  <c:v>2.0853356890458308E-2</c:v>
                </c:pt>
                <c:pt idx="171">
                  <c:v>2.0911660777383823E-2</c:v>
                </c:pt>
                <c:pt idx="172">
                  <c:v>2.0969964664309337E-2</c:v>
                </c:pt>
                <c:pt idx="173">
                  <c:v>2.114487632508677E-2</c:v>
                </c:pt>
                <c:pt idx="174">
                  <c:v>2.1203180212012285E-2</c:v>
                </c:pt>
                <c:pt idx="175">
                  <c:v>2.1261484098938244E-2</c:v>
                </c:pt>
                <c:pt idx="176">
                  <c:v>2.1319787985864203E-2</c:v>
                </c:pt>
                <c:pt idx="177">
                  <c:v>2.1378091872789717E-2</c:v>
                </c:pt>
                <c:pt idx="178">
                  <c:v>2.155300353356715E-2</c:v>
                </c:pt>
                <c:pt idx="179">
                  <c:v>2.1611307420493109E-2</c:v>
                </c:pt>
                <c:pt idx="180">
                  <c:v>2.1669611307418624E-2</c:v>
                </c:pt>
                <c:pt idx="181">
                  <c:v>2.1727915194344583E-2</c:v>
                </c:pt>
                <c:pt idx="182">
                  <c:v>2.1786219081270097E-2</c:v>
                </c:pt>
                <c:pt idx="183">
                  <c:v>2.196113074204753E-2</c:v>
                </c:pt>
                <c:pt idx="184">
                  <c:v>2.2019434628973489E-2</c:v>
                </c:pt>
                <c:pt idx="185">
                  <c:v>2.2077738515899448E-2</c:v>
                </c:pt>
                <c:pt idx="186">
                  <c:v>2.2136042402824962E-2</c:v>
                </c:pt>
                <c:pt idx="187">
                  <c:v>2.2194346289750921E-2</c:v>
                </c:pt>
                <c:pt idx="188">
                  <c:v>2.2369257950528354E-2</c:v>
                </c:pt>
                <c:pt idx="189">
                  <c:v>2.2427561837454313E-2</c:v>
                </c:pt>
                <c:pt idx="190">
                  <c:v>2.2485865724380272E-2</c:v>
                </c:pt>
                <c:pt idx="191">
                  <c:v>2.2544169611306231E-2</c:v>
                </c:pt>
                <c:pt idx="192">
                  <c:v>2.260247349823219E-2</c:v>
                </c:pt>
                <c:pt idx="193">
                  <c:v>2.2777385159009622E-2</c:v>
                </c:pt>
                <c:pt idx="194">
                  <c:v>2.2835689045935581E-2</c:v>
                </c:pt>
                <c:pt idx="195">
                  <c:v>2.289399293286154E-2</c:v>
                </c:pt>
                <c:pt idx="196">
                  <c:v>2.2952296819787055E-2</c:v>
                </c:pt>
                <c:pt idx="197">
                  <c:v>2.3010600706713014E-2</c:v>
                </c:pt>
                <c:pt idx="198">
                  <c:v>2.3185512367490446E-2</c:v>
                </c:pt>
                <c:pt idx="199">
                  <c:v>2.3243816254416405E-2</c:v>
                </c:pt>
                <c:pt idx="200">
                  <c:v>2.3302120141342364E-2</c:v>
                </c:pt>
                <c:pt idx="201">
                  <c:v>2.3360424028268323E-2</c:v>
                </c:pt>
                <c:pt idx="202">
                  <c:v>2.3418727915194282E-2</c:v>
                </c:pt>
                <c:pt idx="203">
                  <c:v>2.3593639575971714E-2</c:v>
                </c:pt>
                <c:pt idx="204">
                  <c:v>2.3651943462897673E-2</c:v>
                </c:pt>
                <c:pt idx="205">
                  <c:v>2.3710247349823632E-2</c:v>
                </c:pt>
                <c:pt idx="206">
                  <c:v>2.3768551236749147E-2</c:v>
                </c:pt>
                <c:pt idx="207">
                  <c:v>2.3826855123674662E-2</c:v>
                </c:pt>
                <c:pt idx="208">
                  <c:v>2.4001766784452094E-2</c:v>
                </c:pt>
                <c:pt idx="209">
                  <c:v>2.4060070671378053E-2</c:v>
                </c:pt>
                <c:pt idx="210">
                  <c:v>2.4118374558304012E-2</c:v>
                </c:pt>
                <c:pt idx="211">
                  <c:v>2.4176678445229971E-2</c:v>
                </c:pt>
                <c:pt idx="212">
                  <c:v>2.423498233215593E-2</c:v>
                </c:pt>
                <c:pt idx="213">
                  <c:v>2.4409893992933362E-2</c:v>
                </c:pt>
                <c:pt idx="214">
                  <c:v>2.4468197879858877E-2</c:v>
                </c:pt>
                <c:pt idx="215">
                  <c:v>2.4526501766784836E-2</c:v>
                </c:pt>
                <c:pt idx="216">
                  <c:v>2.4584805653710795E-2</c:v>
                </c:pt>
                <c:pt idx="217">
                  <c:v>2.464310954063631E-2</c:v>
                </c:pt>
                <c:pt idx="218">
                  <c:v>2.4818021201413742E-2</c:v>
                </c:pt>
                <c:pt idx="219">
                  <c:v>2.4876325088339257E-2</c:v>
                </c:pt>
                <c:pt idx="220">
                  <c:v>2.4934628975265216E-2</c:v>
                </c:pt>
                <c:pt idx="221">
                  <c:v>2.4992932862190731E-2</c:v>
                </c:pt>
                <c:pt idx="222">
                  <c:v>2.5051236749116246E-2</c:v>
                </c:pt>
                <c:pt idx="223">
                  <c:v>2.5226148409893678E-2</c:v>
                </c:pt>
                <c:pt idx="224">
                  <c:v>2.5284452296819193E-2</c:v>
                </c:pt>
                <c:pt idx="225">
                  <c:v>2.5342756183745152E-2</c:v>
                </c:pt>
                <c:pt idx="226">
                  <c:v>2.5401060070671111E-2</c:v>
                </c:pt>
                <c:pt idx="227">
                  <c:v>2.5459363957596626E-2</c:v>
                </c:pt>
                <c:pt idx="228">
                  <c:v>2.5634275618374058E-2</c:v>
                </c:pt>
                <c:pt idx="229">
                  <c:v>2.5692579505299573E-2</c:v>
                </c:pt>
                <c:pt idx="230">
                  <c:v>2.5750883392225088E-2</c:v>
                </c:pt>
                <c:pt idx="231">
                  <c:v>2.5809187279150603E-2</c:v>
                </c:pt>
                <c:pt idx="232">
                  <c:v>2.5867491166076562E-2</c:v>
                </c:pt>
                <c:pt idx="233">
                  <c:v>2.6042402826854438E-2</c:v>
                </c:pt>
                <c:pt idx="234">
                  <c:v>2.6100706713779953E-2</c:v>
                </c:pt>
                <c:pt idx="235">
                  <c:v>2.6159010600705912E-2</c:v>
                </c:pt>
                <c:pt idx="236">
                  <c:v>2.6217314487631427E-2</c:v>
                </c:pt>
                <c:pt idx="237">
                  <c:v>2.6275618374557386E-2</c:v>
                </c:pt>
                <c:pt idx="238">
                  <c:v>2.6450530035335262E-2</c:v>
                </c:pt>
                <c:pt idx="239">
                  <c:v>2.6508833922261221E-2</c:v>
                </c:pt>
                <c:pt idx="240">
                  <c:v>2.656713780918718E-2</c:v>
                </c:pt>
                <c:pt idx="241">
                  <c:v>2.6625441696112695E-2</c:v>
                </c:pt>
                <c:pt idx="242">
                  <c:v>2.668374558303821E-2</c:v>
                </c:pt>
                <c:pt idx="243">
                  <c:v>2.6858657243815642E-2</c:v>
                </c:pt>
                <c:pt idx="244">
                  <c:v>2.6916961130741601E-2</c:v>
                </c:pt>
                <c:pt idx="245">
                  <c:v>2.697526501766756E-2</c:v>
                </c:pt>
                <c:pt idx="246">
                  <c:v>2.7033568904593519E-2</c:v>
                </c:pt>
                <c:pt idx="247">
                  <c:v>2.7091872791519034E-2</c:v>
                </c:pt>
                <c:pt idx="248">
                  <c:v>2.7266784452296466E-2</c:v>
                </c:pt>
                <c:pt idx="249">
                  <c:v>2.7325088339222425E-2</c:v>
                </c:pt>
                <c:pt idx="250">
                  <c:v>2.7383392226148384E-2</c:v>
                </c:pt>
                <c:pt idx="251">
                  <c:v>2.7441696113074343E-2</c:v>
                </c:pt>
                <c:pt idx="252">
                  <c:v>2.7499999999999858E-2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63-4DFE-B900-4CA1FAB91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86976"/>
        <c:axId val="209087536"/>
      </c:lineChart>
      <c:catAx>
        <c:axId val="20908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9087536"/>
        <c:crosses val="autoZero"/>
        <c:auto val="1"/>
        <c:lblAlgn val="ctr"/>
        <c:lblOffset val="100"/>
        <c:noMultiLvlLbl val="0"/>
      </c:catAx>
      <c:valAx>
        <c:axId val="20908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908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r>
              <a:rPr lang="el-GR" sz="1000" b="1">
                <a:latin typeface="Arial Nova" panose="020B0504020202020204" pitchFamily="34" charset="0"/>
              </a:rPr>
              <a:t>Εκτίμηση μηνιαίας δόσης δανείου</a:t>
            </a:r>
            <a:endParaRPr lang="en-US" sz="1000" b="1">
              <a:latin typeface="Arial Nova" panose="020B05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ova" panose="020B0504020202020204" pitchFamily="34" charset="0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4.8826334208223979E-2"/>
          <c:y val="0.14833059979337421"/>
          <c:w val="0.89523622047244089"/>
          <c:h val="0.63873640220046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Sheet1!$AN$2</c:f>
              <c:strCache>
                <c:ptCount val="1"/>
                <c:pt idx="0">
                  <c:v>Αρχική δόση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Sheet1!$AO$2</c:f>
              <c:numCache>
                <c:formatCode>#,##0\ "€"</c:formatCode>
                <c:ptCount val="1"/>
                <c:pt idx="0">
                  <c:v>430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E1-4C48-8CE7-150C2B03BB0F}"/>
            </c:ext>
          </c:extLst>
        </c:ser>
        <c:ser>
          <c:idx val="1"/>
          <c:order val="1"/>
          <c:tx>
            <c:strRef>
              <c:f>Sheet1!$AN$3</c:f>
              <c:strCache>
                <c:ptCount val="1"/>
                <c:pt idx="0">
                  <c:v>Αύξηση δόσης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Sheet1!$AO$3</c:f>
              <c:numCache>
                <c:formatCode>#,##0\ "€"</c:formatCode>
                <c:ptCount val="1"/>
                <c:pt idx="0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E1-4C48-8CE7-150C2B03BB0F}"/>
            </c:ext>
          </c:extLst>
        </c:ser>
        <c:ser>
          <c:idx val="2"/>
          <c:order val="2"/>
          <c:tx>
            <c:strRef>
              <c:f>Sheet1!$AN$4</c:f>
              <c:strCache>
                <c:ptCount val="1"/>
                <c:pt idx="0">
                  <c:v>Νέα δόση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Sheet1!$AO$4</c:f>
              <c:numCache>
                <c:formatCode>#,##0\ "€"</c:formatCode>
                <c:ptCount val="1"/>
                <c:pt idx="0">
                  <c:v>580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4E1-4C48-8CE7-150C2B03BB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065040"/>
        <c:axId val="213065600"/>
      </c:barChart>
      <c:catAx>
        <c:axId val="213065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065600"/>
        <c:crosses val="autoZero"/>
        <c:auto val="1"/>
        <c:lblAlgn val="ctr"/>
        <c:lblOffset val="100"/>
        <c:noMultiLvlLbl val="0"/>
      </c:catAx>
      <c:valAx>
        <c:axId val="21306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306504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Sheet1!$AH$6</c:f>
              <c:strCache>
                <c:ptCount val="1"/>
                <c:pt idx="0">
                  <c:v>Eur3M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Sheet1!$AG$7:$AG$259</c:f>
              <c:numCache>
                <c:formatCode>[$-408]d\-mmm;@</c:formatCode>
                <c:ptCount val="253"/>
                <c:pt idx="0">
                  <c:v>44755</c:v>
                </c:pt>
                <c:pt idx="1">
                  <c:v>44756</c:v>
                </c:pt>
                <c:pt idx="2">
                  <c:v>44757</c:v>
                </c:pt>
                <c:pt idx="3">
                  <c:v>44760</c:v>
                </c:pt>
                <c:pt idx="4">
                  <c:v>44761</c:v>
                </c:pt>
                <c:pt idx="5">
                  <c:v>44762</c:v>
                </c:pt>
                <c:pt idx="6">
                  <c:v>44763</c:v>
                </c:pt>
                <c:pt idx="7">
                  <c:v>44764</c:v>
                </c:pt>
                <c:pt idx="8">
                  <c:v>44767</c:v>
                </c:pt>
                <c:pt idx="9">
                  <c:v>44768</c:v>
                </c:pt>
                <c:pt idx="10">
                  <c:v>44769</c:v>
                </c:pt>
                <c:pt idx="11">
                  <c:v>44770</c:v>
                </c:pt>
                <c:pt idx="12">
                  <c:v>44771</c:v>
                </c:pt>
                <c:pt idx="13">
                  <c:v>44774</c:v>
                </c:pt>
                <c:pt idx="14">
                  <c:v>44775</c:v>
                </c:pt>
                <c:pt idx="15">
                  <c:v>44776</c:v>
                </c:pt>
                <c:pt idx="16">
                  <c:v>44777</c:v>
                </c:pt>
                <c:pt idx="17">
                  <c:v>44778</c:v>
                </c:pt>
                <c:pt idx="18">
                  <c:v>44781</c:v>
                </c:pt>
                <c:pt idx="19">
                  <c:v>44782</c:v>
                </c:pt>
                <c:pt idx="20">
                  <c:v>44783</c:v>
                </c:pt>
                <c:pt idx="21">
                  <c:v>44784</c:v>
                </c:pt>
                <c:pt idx="22">
                  <c:v>44785</c:v>
                </c:pt>
                <c:pt idx="23">
                  <c:v>44788</c:v>
                </c:pt>
                <c:pt idx="24">
                  <c:v>44789</c:v>
                </c:pt>
                <c:pt idx="25">
                  <c:v>44790</c:v>
                </c:pt>
                <c:pt idx="26">
                  <c:v>44791</c:v>
                </c:pt>
                <c:pt idx="27">
                  <c:v>44792</c:v>
                </c:pt>
                <c:pt idx="28">
                  <c:v>44795</c:v>
                </c:pt>
                <c:pt idx="29">
                  <c:v>44796</c:v>
                </c:pt>
                <c:pt idx="30">
                  <c:v>44797</c:v>
                </c:pt>
                <c:pt idx="31">
                  <c:v>44798</c:v>
                </c:pt>
                <c:pt idx="32">
                  <c:v>44799</c:v>
                </c:pt>
                <c:pt idx="33">
                  <c:v>44802</c:v>
                </c:pt>
                <c:pt idx="34">
                  <c:v>44803</c:v>
                </c:pt>
                <c:pt idx="35">
                  <c:v>44804</c:v>
                </c:pt>
                <c:pt idx="36">
                  <c:v>44805</c:v>
                </c:pt>
                <c:pt idx="37">
                  <c:v>44806</c:v>
                </c:pt>
                <c:pt idx="38">
                  <c:v>44809</c:v>
                </c:pt>
                <c:pt idx="39">
                  <c:v>44810</c:v>
                </c:pt>
                <c:pt idx="40">
                  <c:v>44811</c:v>
                </c:pt>
                <c:pt idx="41">
                  <c:v>44812</c:v>
                </c:pt>
                <c:pt idx="42">
                  <c:v>44813</c:v>
                </c:pt>
                <c:pt idx="43">
                  <c:v>44816</c:v>
                </c:pt>
                <c:pt idx="44">
                  <c:v>44817</c:v>
                </c:pt>
                <c:pt idx="45">
                  <c:v>44818</c:v>
                </c:pt>
                <c:pt idx="46">
                  <c:v>44819</c:v>
                </c:pt>
                <c:pt idx="47">
                  <c:v>44820</c:v>
                </c:pt>
                <c:pt idx="48">
                  <c:v>44823</c:v>
                </c:pt>
                <c:pt idx="49">
                  <c:v>44824</c:v>
                </c:pt>
                <c:pt idx="50">
                  <c:v>44825</c:v>
                </c:pt>
                <c:pt idx="51">
                  <c:v>44826</c:v>
                </c:pt>
                <c:pt idx="52">
                  <c:v>44827</c:v>
                </c:pt>
                <c:pt idx="53">
                  <c:v>44830</c:v>
                </c:pt>
                <c:pt idx="54">
                  <c:v>44831</c:v>
                </c:pt>
                <c:pt idx="55">
                  <c:v>44832</c:v>
                </c:pt>
                <c:pt idx="56">
                  <c:v>44833</c:v>
                </c:pt>
                <c:pt idx="57">
                  <c:v>44834</c:v>
                </c:pt>
                <c:pt idx="58">
                  <c:v>44837</c:v>
                </c:pt>
                <c:pt idx="59">
                  <c:v>44838</c:v>
                </c:pt>
                <c:pt idx="60">
                  <c:v>44839</c:v>
                </c:pt>
                <c:pt idx="61">
                  <c:v>44840</c:v>
                </c:pt>
                <c:pt idx="62">
                  <c:v>44841</c:v>
                </c:pt>
                <c:pt idx="63">
                  <c:v>44844</c:v>
                </c:pt>
                <c:pt idx="64">
                  <c:v>44845</c:v>
                </c:pt>
                <c:pt idx="65">
                  <c:v>44846</c:v>
                </c:pt>
                <c:pt idx="66">
                  <c:v>44847</c:v>
                </c:pt>
                <c:pt idx="67">
                  <c:v>44848</c:v>
                </c:pt>
                <c:pt idx="68">
                  <c:v>44851</c:v>
                </c:pt>
                <c:pt idx="69">
                  <c:v>44852</c:v>
                </c:pt>
                <c:pt idx="70">
                  <c:v>44853</c:v>
                </c:pt>
                <c:pt idx="71">
                  <c:v>44854</c:v>
                </c:pt>
                <c:pt idx="72">
                  <c:v>44855</c:v>
                </c:pt>
                <c:pt idx="73">
                  <c:v>44858</c:v>
                </c:pt>
                <c:pt idx="74">
                  <c:v>44859</c:v>
                </c:pt>
                <c:pt idx="75">
                  <c:v>44860</c:v>
                </c:pt>
                <c:pt idx="76">
                  <c:v>44861</c:v>
                </c:pt>
                <c:pt idx="77">
                  <c:v>44862</c:v>
                </c:pt>
                <c:pt idx="78">
                  <c:v>44865</c:v>
                </c:pt>
                <c:pt idx="79">
                  <c:v>44866</c:v>
                </c:pt>
                <c:pt idx="80">
                  <c:v>44867</c:v>
                </c:pt>
                <c:pt idx="81">
                  <c:v>44868</c:v>
                </c:pt>
                <c:pt idx="82">
                  <c:v>44869</c:v>
                </c:pt>
                <c:pt idx="83">
                  <c:v>44872</c:v>
                </c:pt>
                <c:pt idx="84">
                  <c:v>44873</c:v>
                </c:pt>
                <c:pt idx="85">
                  <c:v>44874</c:v>
                </c:pt>
                <c:pt idx="86">
                  <c:v>44875</c:v>
                </c:pt>
                <c:pt idx="87">
                  <c:v>44876</c:v>
                </c:pt>
                <c:pt idx="88">
                  <c:v>44879</c:v>
                </c:pt>
                <c:pt idx="89">
                  <c:v>44880</c:v>
                </c:pt>
                <c:pt idx="90">
                  <c:v>44881</c:v>
                </c:pt>
                <c:pt idx="91">
                  <c:v>44882</c:v>
                </c:pt>
                <c:pt idx="92">
                  <c:v>44883</c:v>
                </c:pt>
                <c:pt idx="93">
                  <c:v>44886</c:v>
                </c:pt>
                <c:pt idx="94">
                  <c:v>44887</c:v>
                </c:pt>
                <c:pt idx="95">
                  <c:v>44888</c:v>
                </c:pt>
                <c:pt idx="96">
                  <c:v>44889</c:v>
                </c:pt>
                <c:pt idx="97">
                  <c:v>44890</c:v>
                </c:pt>
                <c:pt idx="98">
                  <c:v>44893</c:v>
                </c:pt>
                <c:pt idx="99">
                  <c:v>44894</c:v>
                </c:pt>
                <c:pt idx="100">
                  <c:v>44895</c:v>
                </c:pt>
                <c:pt idx="101">
                  <c:v>44896</c:v>
                </c:pt>
                <c:pt idx="102">
                  <c:v>44897</c:v>
                </c:pt>
                <c:pt idx="103">
                  <c:v>44900</c:v>
                </c:pt>
                <c:pt idx="104">
                  <c:v>44901</c:v>
                </c:pt>
                <c:pt idx="105">
                  <c:v>44902</c:v>
                </c:pt>
                <c:pt idx="106">
                  <c:v>44903</c:v>
                </c:pt>
                <c:pt idx="107">
                  <c:v>44904</c:v>
                </c:pt>
                <c:pt idx="108">
                  <c:v>44907</c:v>
                </c:pt>
                <c:pt idx="109">
                  <c:v>44908</c:v>
                </c:pt>
                <c:pt idx="110">
                  <c:v>44909</c:v>
                </c:pt>
                <c:pt idx="111">
                  <c:v>44910</c:v>
                </c:pt>
                <c:pt idx="112">
                  <c:v>44911</c:v>
                </c:pt>
                <c:pt idx="113">
                  <c:v>44914</c:v>
                </c:pt>
                <c:pt idx="114">
                  <c:v>44915</c:v>
                </c:pt>
                <c:pt idx="115">
                  <c:v>44916</c:v>
                </c:pt>
                <c:pt idx="116">
                  <c:v>44917</c:v>
                </c:pt>
                <c:pt idx="117">
                  <c:v>44918</c:v>
                </c:pt>
                <c:pt idx="118">
                  <c:v>44921</c:v>
                </c:pt>
                <c:pt idx="119">
                  <c:v>44922</c:v>
                </c:pt>
                <c:pt idx="120">
                  <c:v>44923</c:v>
                </c:pt>
                <c:pt idx="121">
                  <c:v>44924</c:v>
                </c:pt>
                <c:pt idx="122">
                  <c:v>44925</c:v>
                </c:pt>
                <c:pt idx="123">
                  <c:v>44928</c:v>
                </c:pt>
                <c:pt idx="124">
                  <c:v>44929</c:v>
                </c:pt>
                <c:pt idx="125">
                  <c:v>44930</c:v>
                </c:pt>
                <c:pt idx="126">
                  <c:v>44931</c:v>
                </c:pt>
                <c:pt idx="127">
                  <c:v>44932</c:v>
                </c:pt>
                <c:pt idx="128">
                  <c:v>44935</c:v>
                </c:pt>
                <c:pt idx="129">
                  <c:v>44936</c:v>
                </c:pt>
                <c:pt idx="130">
                  <c:v>44937</c:v>
                </c:pt>
                <c:pt idx="131">
                  <c:v>44938</c:v>
                </c:pt>
                <c:pt idx="132">
                  <c:v>44939</c:v>
                </c:pt>
                <c:pt idx="133">
                  <c:v>44942</c:v>
                </c:pt>
                <c:pt idx="134">
                  <c:v>44943</c:v>
                </c:pt>
                <c:pt idx="135">
                  <c:v>44944</c:v>
                </c:pt>
                <c:pt idx="136">
                  <c:v>44945</c:v>
                </c:pt>
                <c:pt idx="137">
                  <c:v>44946</c:v>
                </c:pt>
                <c:pt idx="138">
                  <c:v>44949</c:v>
                </c:pt>
                <c:pt idx="139">
                  <c:v>44950</c:v>
                </c:pt>
                <c:pt idx="140">
                  <c:v>44951</c:v>
                </c:pt>
                <c:pt idx="141">
                  <c:v>44952</c:v>
                </c:pt>
                <c:pt idx="142">
                  <c:v>44953</c:v>
                </c:pt>
                <c:pt idx="143">
                  <c:v>44956</c:v>
                </c:pt>
                <c:pt idx="144">
                  <c:v>44957</c:v>
                </c:pt>
                <c:pt idx="145">
                  <c:v>44958</c:v>
                </c:pt>
                <c:pt idx="146">
                  <c:v>44959</c:v>
                </c:pt>
                <c:pt idx="147">
                  <c:v>44960</c:v>
                </c:pt>
                <c:pt idx="148">
                  <c:v>44963</c:v>
                </c:pt>
                <c:pt idx="149">
                  <c:v>44964</c:v>
                </c:pt>
                <c:pt idx="150">
                  <c:v>44965</c:v>
                </c:pt>
                <c:pt idx="151">
                  <c:v>44966</c:v>
                </c:pt>
                <c:pt idx="152">
                  <c:v>44967</c:v>
                </c:pt>
                <c:pt idx="153">
                  <c:v>44970</c:v>
                </c:pt>
                <c:pt idx="154">
                  <c:v>44971</c:v>
                </c:pt>
                <c:pt idx="155">
                  <c:v>44972</c:v>
                </c:pt>
                <c:pt idx="156">
                  <c:v>44973</c:v>
                </c:pt>
                <c:pt idx="157">
                  <c:v>44974</c:v>
                </c:pt>
                <c:pt idx="158">
                  <c:v>44977</c:v>
                </c:pt>
                <c:pt idx="159">
                  <c:v>44978</c:v>
                </c:pt>
                <c:pt idx="160">
                  <c:v>44979</c:v>
                </c:pt>
                <c:pt idx="161">
                  <c:v>44980</c:v>
                </c:pt>
                <c:pt idx="162">
                  <c:v>44981</c:v>
                </c:pt>
                <c:pt idx="163">
                  <c:v>44984</c:v>
                </c:pt>
                <c:pt idx="164">
                  <c:v>44985</c:v>
                </c:pt>
                <c:pt idx="165">
                  <c:v>44986</c:v>
                </c:pt>
                <c:pt idx="166">
                  <c:v>44987</c:v>
                </c:pt>
                <c:pt idx="167">
                  <c:v>44988</c:v>
                </c:pt>
                <c:pt idx="168">
                  <c:v>44991</c:v>
                </c:pt>
                <c:pt idx="169">
                  <c:v>44992</c:v>
                </c:pt>
                <c:pt idx="170">
                  <c:v>44993</c:v>
                </c:pt>
                <c:pt idx="171">
                  <c:v>44994</c:v>
                </c:pt>
                <c:pt idx="172">
                  <c:v>44995</c:v>
                </c:pt>
                <c:pt idx="173">
                  <c:v>44998</c:v>
                </c:pt>
                <c:pt idx="174">
                  <c:v>44999</c:v>
                </c:pt>
                <c:pt idx="175">
                  <c:v>45000</c:v>
                </c:pt>
                <c:pt idx="176">
                  <c:v>45001</c:v>
                </c:pt>
                <c:pt idx="177">
                  <c:v>45002</c:v>
                </c:pt>
                <c:pt idx="178">
                  <c:v>45005</c:v>
                </c:pt>
                <c:pt idx="179">
                  <c:v>45006</c:v>
                </c:pt>
                <c:pt idx="180">
                  <c:v>45007</c:v>
                </c:pt>
                <c:pt idx="181">
                  <c:v>45008</c:v>
                </c:pt>
                <c:pt idx="182">
                  <c:v>45009</c:v>
                </c:pt>
                <c:pt idx="183">
                  <c:v>45012</c:v>
                </c:pt>
                <c:pt idx="184">
                  <c:v>45013</c:v>
                </c:pt>
                <c:pt idx="185">
                  <c:v>45014</c:v>
                </c:pt>
                <c:pt idx="186">
                  <c:v>45015</c:v>
                </c:pt>
                <c:pt idx="187">
                  <c:v>45016</c:v>
                </c:pt>
                <c:pt idx="188">
                  <c:v>45019</c:v>
                </c:pt>
                <c:pt idx="189">
                  <c:v>45020</c:v>
                </c:pt>
                <c:pt idx="190">
                  <c:v>45021</c:v>
                </c:pt>
                <c:pt idx="191">
                  <c:v>45022</c:v>
                </c:pt>
                <c:pt idx="192">
                  <c:v>45023</c:v>
                </c:pt>
                <c:pt idx="193">
                  <c:v>45026</c:v>
                </c:pt>
                <c:pt idx="194">
                  <c:v>45027</c:v>
                </c:pt>
                <c:pt idx="195">
                  <c:v>45028</c:v>
                </c:pt>
                <c:pt idx="196">
                  <c:v>45029</c:v>
                </c:pt>
                <c:pt idx="197">
                  <c:v>45030</c:v>
                </c:pt>
                <c:pt idx="198">
                  <c:v>45033</c:v>
                </c:pt>
                <c:pt idx="199">
                  <c:v>45034</c:v>
                </c:pt>
                <c:pt idx="200">
                  <c:v>45035</c:v>
                </c:pt>
                <c:pt idx="201">
                  <c:v>45036</c:v>
                </c:pt>
                <c:pt idx="202">
                  <c:v>45037</c:v>
                </c:pt>
                <c:pt idx="203">
                  <c:v>45040</c:v>
                </c:pt>
                <c:pt idx="204">
                  <c:v>45041</c:v>
                </c:pt>
                <c:pt idx="205">
                  <c:v>45042</c:v>
                </c:pt>
                <c:pt idx="206">
                  <c:v>45043</c:v>
                </c:pt>
                <c:pt idx="207">
                  <c:v>45044</c:v>
                </c:pt>
                <c:pt idx="208">
                  <c:v>45047</c:v>
                </c:pt>
                <c:pt idx="209">
                  <c:v>45048</c:v>
                </c:pt>
                <c:pt idx="210">
                  <c:v>45049</c:v>
                </c:pt>
                <c:pt idx="211">
                  <c:v>45050</c:v>
                </c:pt>
                <c:pt idx="212">
                  <c:v>45051</c:v>
                </c:pt>
                <c:pt idx="213">
                  <c:v>45054</c:v>
                </c:pt>
                <c:pt idx="214">
                  <c:v>45055</c:v>
                </c:pt>
                <c:pt idx="215">
                  <c:v>45056</c:v>
                </c:pt>
                <c:pt idx="216">
                  <c:v>45057</c:v>
                </c:pt>
                <c:pt idx="217">
                  <c:v>45058</c:v>
                </c:pt>
                <c:pt idx="218">
                  <c:v>45061</c:v>
                </c:pt>
                <c:pt idx="219">
                  <c:v>45062</c:v>
                </c:pt>
                <c:pt idx="220">
                  <c:v>45063</c:v>
                </c:pt>
                <c:pt idx="221">
                  <c:v>45064</c:v>
                </c:pt>
                <c:pt idx="222">
                  <c:v>45065</c:v>
                </c:pt>
                <c:pt idx="223">
                  <c:v>45068</c:v>
                </c:pt>
                <c:pt idx="224">
                  <c:v>45069</c:v>
                </c:pt>
                <c:pt idx="225">
                  <c:v>45070</c:v>
                </c:pt>
                <c:pt idx="226">
                  <c:v>45071</c:v>
                </c:pt>
                <c:pt idx="227">
                  <c:v>45072</c:v>
                </c:pt>
                <c:pt idx="228">
                  <c:v>45075</c:v>
                </c:pt>
                <c:pt idx="229">
                  <c:v>45076</c:v>
                </c:pt>
                <c:pt idx="230">
                  <c:v>45077</c:v>
                </c:pt>
                <c:pt idx="231">
                  <c:v>45078</c:v>
                </c:pt>
                <c:pt idx="232">
                  <c:v>45079</c:v>
                </c:pt>
                <c:pt idx="233">
                  <c:v>45082</c:v>
                </c:pt>
                <c:pt idx="234">
                  <c:v>45083</c:v>
                </c:pt>
                <c:pt idx="235">
                  <c:v>45084</c:v>
                </c:pt>
                <c:pt idx="236">
                  <c:v>45085</c:v>
                </c:pt>
                <c:pt idx="237">
                  <c:v>45086</c:v>
                </c:pt>
                <c:pt idx="238">
                  <c:v>45089</c:v>
                </c:pt>
                <c:pt idx="239">
                  <c:v>45090</c:v>
                </c:pt>
                <c:pt idx="240">
                  <c:v>45091</c:v>
                </c:pt>
                <c:pt idx="241">
                  <c:v>45092</c:v>
                </c:pt>
                <c:pt idx="242">
                  <c:v>45093</c:v>
                </c:pt>
                <c:pt idx="243">
                  <c:v>45096</c:v>
                </c:pt>
                <c:pt idx="244">
                  <c:v>45097</c:v>
                </c:pt>
                <c:pt idx="245">
                  <c:v>45098</c:v>
                </c:pt>
                <c:pt idx="246">
                  <c:v>45099</c:v>
                </c:pt>
                <c:pt idx="247">
                  <c:v>45100</c:v>
                </c:pt>
                <c:pt idx="248">
                  <c:v>45103</c:v>
                </c:pt>
                <c:pt idx="249">
                  <c:v>45104</c:v>
                </c:pt>
                <c:pt idx="250">
                  <c:v>45105</c:v>
                </c:pt>
                <c:pt idx="251">
                  <c:v>45106</c:v>
                </c:pt>
                <c:pt idx="252">
                  <c:v>45107</c:v>
                </c:pt>
              </c:numCache>
            </c:numRef>
          </c:cat>
          <c:val>
            <c:numRef>
              <c:f>Sheet1!$AH$7:$AH$259</c:f>
              <c:numCache>
                <c:formatCode>0.000%</c:formatCode>
                <c:ptCount val="253"/>
                <c:pt idx="0">
                  <c:v>0</c:v>
                </c:pt>
                <c:pt idx="1">
                  <c:v>2.0000000000000002E-5</c:v>
                </c:pt>
                <c:pt idx="2">
                  <c:v>7.2000000000000005E-4</c:v>
                </c:pt>
                <c:pt idx="3">
                  <c:v>4.6999999999999999E-4</c:v>
                </c:pt>
                <c:pt idx="4">
                  <c:v>4.2000000000000002E-4</c:v>
                </c:pt>
                <c:pt idx="5">
                  <c:v>1.25E-3</c:v>
                </c:pt>
                <c:pt idx="6">
                  <c:v>1.4499999999999999E-3</c:v>
                </c:pt>
                <c:pt idx="7">
                  <c:v>2E-3</c:v>
                </c:pt>
                <c:pt idx="8">
                  <c:v>2.33E-3</c:v>
                </c:pt>
                <c:pt idx="9">
                  <c:v>2.1199999999999999E-3</c:v>
                </c:pt>
                <c:pt idx="10">
                  <c:v>2.3800000000000002E-3</c:v>
                </c:pt>
                <c:pt idx="11">
                  <c:v>2.6700000000000001E-3</c:v>
                </c:pt>
                <c:pt idx="12">
                  <c:v>2.32E-3</c:v>
                </c:pt>
                <c:pt idx="13">
                  <c:v>2.4599999999999999E-3</c:v>
                </c:pt>
                <c:pt idx="14">
                  <c:v>2.5999999999999999E-3</c:v>
                </c:pt>
                <c:pt idx="15">
                  <c:v>2.5200000000000001E-3</c:v>
                </c:pt>
                <c:pt idx="16">
                  <c:v>2.6900000000000001E-3</c:v>
                </c:pt>
                <c:pt idx="17">
                  <c:v>2.7699999999999999E-3</c:v>
                </c:pt>
                <c:pt idx="18">
                  <c:v>3.0100000000000001E-3</c:v>
                </c:pt>
                <c:pt idx="19">
                  <c:v>3.2100000000000002E-3</c:v>
                </c:pt>
                <c:pt idx="20">
                  <c:v>3.2499999999999999E-3</c:v>
                </c:pt>
                <c:pt idx="21">
                  <c:v>3.2100000000000002E-3</c:v>
                </c:pt>
                <c:pt idx="22">
                  <c:v>3.3300000000000001E-3</c:v>
                </c:pt>
                <c:pt idx="23">
                  <c:v>3.3899999999999998E-3</c:v>
                </c:pt>
                <c:pt idx="24">
                  <c:v>3.3300000000000001E-3</c:v>
                </c:pt>
                <c:pt idx="25">
                  <c:v>3.5100000000000001E-3</c:v>
                </c:pt>
                <c:pt idx="26">
                  <c:v>3.9100000000000003E-3</c:v>
                </c:pt>
                <c:pt idx="27">
                  <c:v>4.3E-3</c:v>
                </c:pt>
                <c:pt idx="28">
                  <c:v>4.5300000000000002E-3</c:v>
                </c:pt>
                <c:pt idx="29">
                  <c:v>4.6800000000000001E-3</c:v>
                </c:pt>
                <c:pt idx="30">
                  <c:v>4.9300000000000004E-3</c:v>
                </c:pt>
                <c:pt idx="31">
                  <c:v>5.1799999999999997E-3</c:v>
                </c:pt>
                <c:pt idx="32">
                  <c:v>5.4200000000000003E-3</c:v>
                </c:pt>
                <c:pt idx="33">
                  <c:v>5.8199999999999997E-3</c:v>
                </c:pt>
                <c:pt idx="34">
                  <c:v>6.1999999999999998E-3</c:v>
                </c:pt>
                <c:pt idx="35">
                  <c:v>6.5399999999999998E-3</c:v>
                </c:pt>
                <c:pt idx="36">
                  <c:v>7.1199999999999996E-3</c:v>
                </c:pt>
                <c:pt idx="37">
                  <c:v>7.6299999999999996E-3</c:v>
                </c:pt>
                <c:pt idx="38">
                  <c:v>7.8300000000000002E-3</c:v>
                </c:pt>
                <c:pt idx="39">
                  <c:v>8.1600000000000006E-3</c:v>
                </c:pt>
                <c:pt idx="40">
                  <c:v>8.2199999999999999E-3</c:v>
                </c:pt>
                <c:pt idx="41">
                  <c:v>8.3599999999999994E-3</c:v>
                </c:pt>
                <c:pt idx="42">
                  <c:v>9.3399999999999993E-3</c:v>
                </c:pt>
                <c:pt idx="43">
                  <c:v>9.8799999999999999E-3</c:v>
                </c:pt>
                <c:pt idx="44">
                  <c:v>0.01</c:v>
                </c:pt>
                <c:pt idx="45">
                  <c:v>1.013E-2</c:v>
                </c:pt>
                <c:pt idx="46">
                  <c:v>1.03E-2</c:v>
                </c:pt>
                <c:pt idx="47">
                  <c:v>1.0630000000000001E-2</c:v>
                </c:pt>
                <c:pt idx="48">
                  <c:v>1.0659999999999999E-2</c:v>
                </c:pt>
                <c:pt idx="49">
                  <c:v>1.0999999999999999E-2</c:v>
                </c:pt>
                <c:pt idx="50">
                  <c:v>1.1058303886925636E-2</c:v>
                </c:pt>
                <c:pt idx="51">
                  <c:v>1.1116607773851594E-2</c:v>
                </c:pt>
                <c:pt idx="52">
                  <c:v>1.1174911660777109E-2</c:v>
                </c:pt>
                <c:pt idx="53">
                  <c:v>1.1349823321554542E-2</c:v>
                </c:pt>
                <c:pt idx="54">
                  <c:v>1.1408127208480501E-2</c:v>
                </c:pt>
                <c:pt idx="55">
                  <c:v>1.1466431095406016E-2</c:v>
                </c:pt>
                <c:pt idx="56">
                  <c:v>1.1524734982331974E-2</c:v>
                </c:pt>
                <c:pt idx="57">
                  <c:v>1.1583038869257933E-2</c:v>
                </c:pt>
                <c:pt idx="58">
                  <c:v>1.1757950530035366E-2</c:v>
                </c:pt>
                <c:pt idx="59">
                  <c:v>1.1816254416961325E-2</c:v>
                </c:pt>
                <c:pt idx="60">
                  <c:v>1.1874558303887284E-2</c:v>
                </c:pt>
                <c:pt idx="61">
                  <c:v>1.1932862190812799E-2</c:v>
                </c:pt>
                <c:pt idx="62">
                  <c:v>1.1991166077738313E-2</c:v>
                </c:pt>
                <c:pt idx="63">
                  <c:v>1.2166077738515746E-2</c:v>
                </c:pt>
                <c:pt idx="64">
                  <c:v>1.2224381625441705E-2</c:v>
                </c:pt>
                <c:pt idx="65">
                  <c:v>1.228268551236722E-2</c:v>
                </c:pt>
                <c:pt idx="66">
                  <c:v>1.2340989399293179E-2</c:v>
                </c:pt>
                <c:pt idx="67">
                  <c:v>1.2399293286219137E-2</c:v>
                </c:pt>
                <c:pt idx="68">
                  <c:v>1.257420494699657E-2</c:v>
                </c:pt>
                <c:pt idx="69">
                  <c:v>1.2632508833922085E-2</c:v>
                </c:pt>
                <c:pt idx="70">
                  <c:v>1.2690812720848044E-2</c:v>
                </c:pt>
                <c:pt idx="71">
                  <c:v>1.2749116607774003E-2</c:v>
                </c:pt>
                <c:pt idx="72">
                  <c:v>1.2807420494699517E-2</c:v>
                </c:pt>
                <c:pt idx="73">
                  <c:v>1.298233215547695E-2</c:v>
                </c:pt>
                <c:pt idx="74">
                  <c:v>1.3040636042402909E-2</c:v>
                </c:pt>
                <c:pt idx="75">
                  <c:v>1.3098939929328868E-2</c:v>
                </c:pt>
                <c:pt idx="76">
                  <c:v>1.3157243816254827E-2</c:v>
                </c:pt>
                <c:pt idx="77">
                  <c:v>1.3215547703180341E-2</c:v>
                </c:pt>
                <c:pt idx="78">
                  <c:v>1.3390459363957774E-2</c:v>
                </c:pt>
                <c:pt idx="79">
                  <c:v>1.3448763250883289E-2</c:v>
                </c:pt>
                <c:pt idx="80">
                  <c:v>1.3507067137809248E-2</c:v>
                </c:pt>
                <c:pt idx="81">
                  <c:v>1.3565371024735207E-2</c:v>
                </c:pt>
                <c:pt idx="82">
                  <c:v>1.3623674911661166E-2</c:v>
                </c:pt>
                <c:pt idx="83">
                  <c:v>1.3798586572438598E-2</c:v>
                </c:pt>
                <c:pt idx="84">
                  <c:v>1.3856890459364113E-2</c:v>
                </c:pt>
                <c:pt idx="85">
                  <c:v>1.3915194346289628E-2</c:v>
                </c:pt>
                <c:pt idx="86">
                  <c:v>1.3973498233215587E-2</c:v>
                </c:pt>
                <c:pt idx="87">
                  <c:v>1.4031802120141545E-2</c:v>
                </c:pt>
                <c:pt idx="88">
                  <c:v>1.4206713780918978E-2</c:v>
                </c:pt>
                <c:pt idx="89">
                  <c:v>1.4265017667844493E-2</c:v>
                </c:pt>
                <c:pt idx="90">
                  <c:v>1.4323321554770452E-2</c:v>
                </c:pt>
                <c:pt idx="91">
                  <c:v>1.4381625441695967E-2</c:v>
                </c:pt>
                <c:pt idx="92">
                  <c:v>1.4439929328621925E-2</c:v>
                </c:pt>
                <c:pt idx="93">
                  <c:v>1.4614840989399358E-2</c:v>
                </c:pt>
                <c:pt idx="94">
                  <c:v>1.4673144876324873E-2</c:v>
                </c:pt>
                <c:pt idx="95">
                  <c:v>1.4731448763250832E-2</c:v>
                </c:pt>
                <c:pt idx="96">
                  <c:v>1.4789752650176347E-2</c:v>
                </c:pt>
                <c:pt idx="97">
                  <c:v>1.4848056537102305E-2</c:v>
                </c:pt>
                <c:pt idx="98">
                  <c:v>1.5022968197879294E-2</c:v>
                </c:pt>
                <c:pt idx="99">
                  <c:v>1.5081272084804809E-2</c:v>
                </c:pt>
                <c:pt idx="100">
                  <c:v>1.5139575971730324E-2</c:v>
                </c:pt>
                <c:pt idx="101">
                  <c:v>1.5197879858656282E-2</c:v>
                </c:pt>
                <c:pt idx="102">
                  <c:v>1.5256183745581797E-2</c:v>
                </c:pt>
                <c:pt idx="103">
                  <c:v>1.543109540635923E-2</c:v>
                </c:pt>
                <c:pt idx="104">
                  <c:v>1.5489399293284745E-2</c:v>
                </c:pt>
                <c:pt idx="105">
                  <c:v>1.5547703180210704E-2</c:v>
                </c:pt>
                <c:pt idx="106">
                  <c:v>1.5606007067136662E-2</c:v>
                </c:pt>
                <c:pt idx="107">
                  <c:v>1.5664310954062177E-2</c:v>
                </c:pt>
                <c:pt idx="108">
                  <c:v>1.583922261483961E-2</c:v>
                </c:pt>
                <c:pt idx="109">
                  <c:v>1.5897526501765569E-2</c:v>
                </c:pt>
                <c:pt idx="110">
                  <c:v>1.5955830388691528E-2</c:v>
                </c:pt>
                <c:pt idx="111">
                  <c:v>1.6014134275617486E-2</c:v>
                </c:pt>
                <c:pt idx="112">
                  <c:v>1.6072438162543445E-2</c:v>
                </c:pt>
                <c:pt idx="113">
                  <c:v>1.6247349823320434E-2</c:v>
                </c:pt>
                <c:pt idx="114">
                  <c:v>1.6305653710246393E-2</c:v>
                </c:pt>
                <c:pt idx="115">
                  <c:v>1.6363957597172352E-2</c:v>
                </c:pt>
                <c:pt idx="116">
                  <c:v>1.6422261484098311E-2</c:v>
                </c:pt>
                <c:pt idx="117">
                  <c:v>1.6480565371024269E-2</c:v>
                </c:pt>
                <c:pt idx="118">
                  <c:v>1.6655477031801702E-2</c:v>
                </c:pt>
                <c:pt idx="119">
                  <c:v>1.6713780918727661E-2</c:v>
                </c:pt>
                <c:pt idx="120">
                  <c:v>1.677208480565362E-2</c:v>
                </c:pt>
                <c:pt idx="121">
                  <c:v>1.6830388692579579E-2</c:v>
                </c:pt>
                <c:pt idx="122">
                  <c:v>1.6888692579505094E-2</c:v>
                </c:pt>
                <c:pt idx="123">
                  <c:v>1.7063604240282526E-2</c:v>
                </c:pt>
                <c:pt idx="124">
                  <c:v>1.7121908127208041E-2</c:v>
                </c:pt>
                <c:pt idx="125">
                  <c:v>1.7180212014134E-2</c:v>
                </c:pt>
                <c:pt idx="126">
                  <c:v>1.7238515901059515E-2</c:v>
                </c:pt>
                <c:pt idx="127">
                  <c:v>1.7296819787985473E-2</c:v>
                </c:pt>
                <c:pt idx="128">
                  <c:v>1.7471731448762906E-2</c:v>
                </c:pt>
                <c:pt idx="129">
                  <c:v>1.7530035335688865E-2</c:v>
                </c:pt>
                <c:pt idx="130">
                  <c:v>1.758833922261438E-2</c:v>
                </c:pt>
                <c:pt idx="131">
                  <c:v>1.7646643109539895E-2</c:v>
                </c:pt>
                <c:pt idx="132">
                  <c:v>1.7704946996465409E-2</c:v>
                </c:pt>
                <c:pt idx="133">
                  <c:v>1.7879858657242842E-2</c:v>
                </c:pt>
                <c:pt idx="134">
                  <c:v>1.7938162544168801E-2</c:v>
                </c:pt>
                <c:pt idx="135">
                  <c:v>1.799646643109476E-2</c:v>
                </c:pt>
                <c:pt idx="136">
                  <c:v>1.8054770318020719E-2</c:v>
                </c:pt>
                <c:pt idx="137">
                  <c:v>1.8113074204946233E-2</c:v>
                </c:pt>
                <c:pt idx="138">
                  <c:v>1.8287985865723222E-2</c:v>
                </c:pt>
                <c:pt idx="139">
                  <c:v>1.8346289752648737E-2</c:v>
                </c:pt>
                <c:pt idx="140">
                  <c:v>1.8404593639574252E-2</c:v>
                </c:pt>
                <c:pt idx="141">
                  <c:v>1.846289752650021E-2</c:v>
                </c:pt>
                <c:pt idx="142">
                  <c:v>1.8521201413425725E-2</c:v>
                </c:pt>
                <c:pt idx="143">
                  <c:v>1.8696113074203158E-2</c:v>
                </c:pt>
                <c:pt idx="144">
                  <c:v>1.8754416961128673E-2</c:v>
                </c:pt>
                <c:pt idx="145">
                  <c:v>1.8812720848054632E-2</c:v>
                </c:pt>
                <c:pt idx="146">
                  <c:v>1.887102473498059E-2</c:v>
                </c:pt>
                <c:pt idx="147">
                  <c:v>1.8929328621906549E-2</c:v>
                </c:pt>
                <c:pt idx="148">
                  <c:v>1.9104240282683982E-2</c:v>
                </c:pt>
                <c:pt idx="149">
                  <c:v>1.9162544169609497E-2</c:v>
                </c:pt>
                <c:pt idx="150">
                  <c:v>1.9220848056535456E-2</c:v>
                </c:pt>
                <c:pt idx="151">
                  <c:v>1.9279151943461414E-2</c:v>
                </c:pt>
                <c:pt idx="152">
                  <c:v>1.9337455830387373E-2</c:v>
                </c:pt>
                <c:pt idx="153">
                  <c:v>1.9512367491164806E-2</c:v>
                </c:pt>
                <c:pt idx="154">
                  <c:v>1.9570671378090321E-2</c:v>
                </c:pt>
                <c:pt idx="155">
                  <c:v>1.9628975265015836E-2</c:v>
                </c:pt>
                <c:pt idx="156">
                  <c:v>1.9687279151941794E-2</c:v>
                </c:pt>
                <c:pt idx="157">
                  <c:v>1.9745583038867753E-2</c:v>
                </c:pt>
                <c:pt idx="158">
                  <c:v>1.9920494699645186E-2</c:v>
                </c:pt>
                <c:pt idx="159">
                  <c:v>1.9978798586571145E-2</c:v>
                </c:pt>
                <c:pt idx="160">
                  <c:v>2.003710247349666E-2</c:v>
                </c:pt>
                <c:pt idx="161">
                  <c:v>2.0095406360422619E-2</c:v>
                </c:pt>
                <c:pt idx="162">
                  <c:v>2.0153710247348577E-2</c:v>
                </c:pt>
                <c:pt idx="163">
                  <c:v>2.032862190812601E-2</c:v>
                </c:pt>
                <c:pt idx="164">
                  <c:v>2.0386925795051969E-2</c:v>
                </c:pt>
                <c:pt idx="165">
                  <c:v>2.0445229681977484E-2</c:v>
                </c:pt>
                <c:pt idx="166">
                  <c:v>2.0503533568903443E-2</c:v>
                </c:pt>
                <c:pt idx="167">
                  <c:v>2.0561837455828957E-2</c:v>
                </c:pt>
                <c:pt idx="168">
                  <c:v>2.073674911660639E-2</c:v>
                </c:pt>
                <c:pt idx="169">
                  <c:v>2.0795053003532349E-2</c:v>
                </c:pt>
                <c:pt idx="170">
                  <c:v>2.0853356890458308E-2</c:v>
                </c:pt>
                <c:pt idx="171">
                  <c:v>2.0911660777383823E-2</c:v>
                </c:pt>
                <c:pt idx="172">
                  <c:v>2.0969964664309337E-2</c:v>
                </c:pt>
                <c:pt idx="173">
                  <c:v>2.114487632508677E-2</c:v>
                </c:pt>
                <c:pt idx="174">
                  <c:v>2.1203180212012285E-2</c:v>
                </c:pt>
                <c:pt idx="175">
                  <c:v>2.1261484098938244E-2</c:v>
                </c:pt>
                <c:pt idx="176">
                  <c:v>2.1319787985864203E-2</c:v>
                </c:pt>
                <c:pt idx="177">
                  <c:v>2.1378091872789717E-2</c:v>
                </c:pt>
                <c:pt idx="178">
                  <c:v>2.155300353356715E-2</c:v>
                </c:pt>
                <c:pt idx="179">
                  <c:v>2.1611307420493109E-2</c:v>
                </c:pt>
                <c:pt idx="180">
                  <c:v>2.1669611307418624E-2</c:v>
                </c:pt>
                <c:pt idx="181">
                  <c:v>2.1727915194344583E-2</c:v>
                </c:pt>
                <c:pt idx="182">
                  <c:v>2.1786219081270097E-2</c:v>
                </c:pt>
                <c:pt idx="183">
                  <c:v>2.196113074204753E-2</c:v>
                </c:pt>
                <c:pt idx="184">
                  <c:v>2.2019434628973489E-2</c:v>
                </c:pt>
                <c:pt idx="185">
                  <c:v>2.2077738515899448E-2</c:v>
                </c:pt>
                <c:pt idx="186">
                  <c:v>2.2136042402824962E-2</c:v>
                </c:pt>
                <c:pt idx="187">
                  <c:v>2.2194346289750921E-2</c:v>
                </c:pt>
                <c:pt idx="188">
                  <c:v>2.2369257950528354E-2</c:v>
                </c:pt>
                <c:pt idx="189">
                  <c:v>2.2427561837454313E-2</c:v>
                </c:pt>
                <c:pt idx="190">
                  <c:v>2.2485865724380272E-2</c:v>
                </c:pt>
                <c:pt idx="191">
                  <c:v>2.2544169611306231E-2</c:v>
                </c:pt>
                <c:pt idx="192">
                  <c:v>2.260247349823219E-2</c:v>
                </c:pt>
                <c:pt idx="193">
                  <c:v>2.2777385159009622E-2</c:v>
                </c:pt>
                <c:pt idx="194">
                  <c:v>2.2835689045935581E-2</c:v>
                </c:pt>
                <c:pt idx="195">
                  <c:v>2.289399293286154E-2</c:v>
                </c:pt>
                <c:pt idx="196">
                  <c:v>2.2952296819787055E-2</c:v>
                </c:pt>
                <c:pt idx="197">
                  <c:v>2.3010600706713014E-2</c:v>
                </c:pt>
                <c:pt idx="198">
                  <c:v>2.3185512367490446E-2</c:v>
                </c:pt>
                <c:pt idx="199">
                  <c:v>2.3243816254416405E-2</c:v>
                </c:pt>
                <c:pt idx="200">
                  <c:v>2.3302120141342364E-2</c:v>
                </c:pt>
                <c:pt idx="201">
                  <c:v>2.3360424028268323E-2</c:v>
                </c:pt>
                <c:pt idx="202">
                  <c:v>2.3418727915194282E-2</c:v>
                </c:pt>
                <c:pt idx="203">
                  <c:v>2.3593639575971714E-2</c:v>
                </c:pt>
                <c:pt idx="204">
                  <c:v>2.3651943462897673E-2</c:v>
                </c:pt>
                <c:pt idx="205">
                  <c:v>2.3710247349823632E-2</c:v>
                </c:pt>
                <c:pt idx="206">
                  <c:v>2.3768551236749147E-2</c:v>
                </c:pt>
                <c:pt idx="207">
                  <c:v>2.3826855123674662E-2</c:v>
                </c:pt>
                <c:pt idx="208">
                  <c:v>2.4001766784452094E-2</c:v>
                </c:pt>
                <c:pt idx="209">
                  <c:v>2.4060070671378053E-2</c:v>
                </c:pt>
                <c:pt idx="210">
                  <c:v>2.4118374558304012E-2</c:v>
                </c:pt>
                <c:pt idx="211">
                  <c:v>2.4176678445229971E-2</c:v>
                </c:pt>
                <c:pt idx="212">
                  <c:v>2.423498233215593E-2</c:v>
                </c:pt>
                <c:pt idx="213">
                  <c:v>2.4409893992933362E-2</c:v>
                </c:pt>
                <c:pt idx="214">
                  <c:v>2.4468197879858877E-2</c:v>
                </c:pt>
                <c:pt idx="215">
                  <c:v>2.4526501766784836E-2</c:v>
                </c:pt>
                <c:pt idx="216">
                  <c:v>2.4584805653710795E-2</c:v>
                </c:pt>
                <c:pt idx="217">
                  <c:v>2.464310954063631E-2</c:v>
                </c:pt>
                <c:pt idx="218">
                  <c:v>2.4818021201413742E-2</c:v>
                </c:pt>
                <c:pt idx="219">
                  <c:v>2.4876325088339257E-2</c:v>
                </c:pt>
                <c:pt idx="220">
                  <c:v>2.4934628975265216E-2</c:v>
                </c:pt>
                <c:pt idx="221">
                  <c:v>2.4992932862190731E-2</c:v>
                </c:pt>
                <c:pt idx="222">
                  <c:v>2.5051236749116246E-2</c:v>
                </c:pt>
                <c:pt idx="223">
                  <c:v>2.5226148409893678E-2</c:v>
                </c:pt>
                <c:pt idx="224">
                  <c:v>2.5284452296819193E-2</c:v>
                </c:pt>
                <c:pt idx="225">
                  <c:v>2.5342756183745152E-2</c:v>
                </c:pt>
                <c:pt idx="226">
                  <c:v>2.5401060070671111E-2</c:v>
                </c:pt>
                <c:pt idx="227">
                  <c:v>2.5459363957596626E-2</c:v>
                </c:pt>
                <c:pt idx="228">
                  <c:v>2.5634275618374058E-2</c:v>
                </c:pt>
                <c:pt idx="229">
                  <c:v>2.5692579505299573E-2</c:v>
                </c:pt>
                <c:pt idx="230">
                  <c:v>2.5750883392225088E-2</c:v>
                </c:pt>
                <c:pt idx="231">
                  <c:v>2.5809187279150603E-2</c:v>
                </c:pt>
                <c:pt idx="232">
                  <c:v>2.5867491166076562E-2</c:v>
                </c:pt>
                <c:pt idx="233">
                  <c:v>2.6042402826854438E-2</c:v>
                </c:pt>
                <c:pt idx="234">
                  <c:v>2.6100706713779953E-2</c:v>
                </c:pt>
                <c:pt idx="235">
                  <c:v>2.6159010600705912E-2</c:v>
                </c:pt>
                <c:pt idx="236">
                  <c:v>2.6217314487631427E-2</c:v>
                </c:pt>
                <c:pt idx="237">
                  <c:v>2.6275618374557386E-2</c:v>
                </c:pt>
                <c:pt idx="238">
                  <c:v>2.6450530035335262E-2</c:v>
                </c:pt>
                <c:pt idx="239">
                  <c:v>2.6508833922261221E-2</c:v>
                </c:pt>
                <c:pt idx="240">
                  <c:v>2.656713780918718E-2</c:v>
                </c:pt>
                <c:pt idx="241">
                  <c:v>2.6625441696112695E-2</c:v>
                </c:pt>
                <c:pt idx="242">
                  <c:v>2.668374558303821E-2</c:v>
                </c:pt>
                <c:pt idx="243">
                  <c:v>2.6858657243815642E-2</c:v>
                </c:pt>
                <c:pt idx="244">
                  <c:v>2.6916961130741601E-2</c:v>
                </c:pt>
                <c:pt idx="245">
                  <c:v>2.697526501766756E-2</c:v>
                </c:pt>
                <c:pt idx="246">
                  <c:v>2.7033568904593519E-2</c:v>
                </c:pt>
                <c:pt idx="247">
                  <c:v>2.7091872791519034E-2</c:v>
                </c:pt>
                <c:pt idx="248">
                  <c:v>2.7266784452296466E-2</c:v>
                </c:pt>
                <c:pt idx="249">
                  <c:v>2.7325088339222425E-2</c:v>
                </c:pt>
                <c:pt idx="250">
                  <c:v>2.7383392226148384E-2</c:v>
                </c:pt>
                <c:pt idx="251">
                  <c:v>2.7441696113074343E-2</c:v>
                </c:pt>
                <c:pt idx="252">
                  <c:v>2.7499999999999858E-2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76-4F12-B3CF-393662CCA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70640"/>
        <c:axId val="2130712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Sheet1!$AI$6</c15:sqref>
                        </c15:formulaRef>
                      </c:ext>
                    </c:extLst>
                    <c:strCache>
                      <c:ptCount val="1"/>
                      <c:pt idx="0">
                        <c:v>pace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Sheet1!$AG$7:$AG$259</c15:sqref>
                        </c15:formulaRef>
                      </c:ext>
                    </c:extLst>
                    <c:numCache>
                      <c:formatCode>[$-408]d\-mmm;@</c:formatCode>
                      <c:ptCount val="253"/>
                      <c:pt idx="0">
                        <c:v>44755</c:v>
                      </c:pt>
                      <c:pt idx="1">
                        <c:v>44756</c:v>
                      </c:pt>
                      <c:pt idx="2">
                        <c:v>44757</c:v>
                      </c:pt>
                      <c:pt idx="3">
                        <c:v>44760</c:v>
                      </c:pt>
                      <c:pt idx="4">
                        <c:v>44761</c:v>
                      </c:pt>
                      <c:pt idx="5">
                        <c:v>44762</c:v>
                      </c:pt>
                      <c:pt idx="6">
                        <c:v>44763</c:v>
                      </c:pt>
                      <c:pt idx="7">
                        <c:v>44764</c:v>
                      </c:pt>
                      <c:pt idx="8">
                        <c:v>44767</c:v>
                      </c:pt>
                      <c:pt idx="9">
                        <c:v>44768</c:v>
                      </c:pt>
                      <c:pt idx="10">
                        <c:v>44769</c:v>
                      </c:pt>
                      <c:pt idx="11">
                        <c:v>44770</c:v>
                      </c:pt>
                      <c:pt idx="12">
                        <c:v>44771</c:v>
                      </c:pt>
                      <c:pt idx="13">
                        <c:v>44774</c:v>
                      </c:pt>
                      <c:pt idx="14">
                        <c:v>44775</c:v>
                      </c:pt>
                      <c:pt idx="15">
                        <c:v>44776</c:v>
                      </c:pt>
                      <c:pt idx="16">
                        <c:v>44777</c:v>
                      </c:pt>
                      <c:pt idx="17">
                        <c:v>44778</c:v>
                      </c:pt>
                      <c:pt idx="18">
                        <c:v>44781</c:v>
                      </c:pt>
                      <c:pt idx="19">
                        <c:v>44782</c:v>
                      </c:pt>
                      <c:pt idx="20">
                        <c:v>44783</c:v>
                      </c:pt>
                      <c:pt idx="21">
                        <c:v>44784</c:v>
                      </c:pt>
                      <c:pt idx="22">
                        <c:v>44785</c:v>
                      </c:pt>
                      <c:pt idx="23">
                        <c:v>44788</c:v>
                      </c:pt>
                      <c:pt idx="24">
                        <c:v>44789</c:v>
                      </c:pt>
                      <c:pt idx="25">
                        <c:v>44790</c:v>
                      </c:pt>
                      <c:pt idx="26">
                        <c:v>44791</c:v>
                      </c:pt>
                      <c:pt idx="27">
                        <c:v>44792</c:v>
                      </c:pt>
                      <c:pt idx="28">
                        <c:v>44795</c:v>
                      </c:pt>
                      <c:pt idx="29">
                        <c:v>44796</c:v>
                      </c:pt>
                      <c:pt idx="30">
                        <c:v>44797</c:v>
                      </c:pt>
                      <c:pt idx="31">
                        <c:v>44798</c:v>
                      </c:pt>
                      <c:pt idx="32">
                        <c:v>44799</c:v>
                      </c:pt>
                      <c:pt idx="33">
                        <c:v>44802</c:v>
                      </c:pt>
                      <c:pt idx="34">
                        <c:v>44803</c:v>
                      </c:pt>
                      <c:pt idx="35">
                        <c:v>44804</c:v>
                      </c:pt>
                      <c:pt idx="36">
                        <c:v>44805</c:v>
                      </c:pt>
                      <c:pt idx="37">
                        <c:v>44806</c:v>
                      </c:pt>
                      <c:pt idx="38">
                        <c:v>44809</c:v>
                      </c:pt>
                      <c:pt idx="39">
                        <c:v>44810</c:v>
                      </c:pt>
                      <c:pt idx="40">
                        <c:v>44811</c:v>
                      </c:pt>
                      <c:pt idx="41">
                        <c:v>44812</c:v>
                      </c:pt>
                      <c:pt idx="42">
                        <c:v>44813</c:v>
                      </c:pt>
                      <c:pt idx="43">
                        <c:v>44816</c:v>
                      </c:pt>
                      <c:pt idx="44">
                        <c:v>44817</c:v>
                      </c:pt>
                      <c:pt idx="45">
                        <c:v>44818</c:v>
                      </c:pt>
                      <c:pt idx="46">
                        <c:v>44819</c:v>
                      </c:pt>
                      <c:pt idx="47">
                        <c:v>44820</c:v>
                      </c:pt>
                      <c:pt idx="48">
                        <c:v>44823</c:v>
                      </c:pt>
                      <c:pt idx="49">
                        <c:v>44824</c:v>
                      </c:pt>
                      <c:pt idx="50">
                        <c:v>44825</c:v>
                      </c:pt>
                      <c:pt idx="51">
                        <c:v>44826</c:v>
                      </c:pt>
                      <c:pt idx="52">
                        <c:v>44827</c:v>
                      </c:pt>
                      <c:pt idx="53">
                        <c:v>44830</c:v>
                      </c:pt>
                      <c:pt idx="54">
                        <c:v>44831</c:v>
                      </c:pt>
                      <c:pt idx="55">
                        <c:v>44832</c:v>
                      </c:pt>
                      <c:pt idx="56">
                        <c:v>44833</c:v>
                      </c:pt>
                      <c:pt idx="57">
                        <c:v>44834</c:v>
                      </c:pt>
                      <c:pt idx="58">
                        <c:v>44837</c:v>
                      </c:pt>
                      <c:pt idx="59">
                        <c:v>44838</c:v>
                      </c:pt>
                      <c:pt idx="60">
                        <c:v>44839</c:v>
                      </c:pt>
                      <c:pt idx="61">
                        <c:v>44840</c:v>
                      </c:pt>
                      <c:pt idx="62">
                        <c:v>44841</c:v>
                      </c:pt>
                      <c:pt idx="63">
                        <c:v>44844</c:v>
                      </c:pt>
                      <c:pt idx="64">
                        <c:v>44845</c:v>
                      </c:pt>
                      <c:pt idx="65">
                        <c:v>44846</c:v>
                      </c:pt>
                      <c:pt idx="66">
                        <c:v>44847</c:v>
                      </c:pt>
                      <c:pt idx="67">
                        <c:v>44848</c:v>
                      </c:pt>
                      <c:pt idx="68">
                        <c:v>44851</c:v>
                      </c:pt>
                      <c:pt idx="69">
                        <c:v>44852</c:v>
                      </c:pt>
                      <c:pt idx="70">
                        <c:v>44853</c:v>
                      </c:pt>
                      <c:pt idx="71">
                        <c:v>44854</c:v>
                      </c:pt>
                      <c:pt idx="72">
                        <c:v>44855</c:v>
                      </c:pt>
                      <c:pt idx="73">
                        <c:v>44858</c:v>
                      </c:pt>
                      <c:pt idx="74">
                        <c:v>44859</c:v>
                      </c:pt>
                      <c:pt idx="75">
                        <c:v>44860</c:v>
                      </c:pt>
                      <c:pt idx="76">
                        <c:v>44861</c:v>
                      </c:pt>
                      <c:pt idx="77">
                        <c:v>44862</c:v>
                      </c:pt>
                      <c:pt idx="78">
                        <c:v>44865</c:v>
                      </c:pt>
                      <c:pt idx="79">
                        <c:v>44866</c:v>
                      </c:pt>
                      <c:pt idx="80">
                        <c:v>44867</c:v>
                      </c:pt>
                      <c:pt idx="81">
                        <c:v>44868</c:v>
                      </c:pt>
                      <c:pt idx="82">
                        <c:v>44869</c:v>
                      </c:pt>
                      <c:pt idx="83">
                        <c:v>44872</c:v>
                      </c:pt>
                      <c:pt idx="84">
                        <c:v>44873</c:v>
                      </c:pt>
                      <c:pt idx="85">
                        <c:v>44874</c:v>
                      </c:pt>
                      <c:pt idx="86">
                        <c:v>44875</c:v>
                      </c:pt>
                      <c:pt idx="87">
                        <c:v>44876</c:v>
                      </c:pt>
                      <c:pt idx="88">
                        <c:v>44879</c:v>
                      </c:pt>
                      <c:pt idx="89">
                        <c:v>44880</c:v>
                      </c:pt>
                      <c:pt idx="90">
                        <c:v>44881</c:v>
                      </c:pt>
                      <c:pt idx="91">
                        <c:v>44882</c:v>
                      </c:pt>
                      <c:pt idx="92">
                        <c:v>44883</c:v>
                      </c:pt>
                      <c:pt idx="93">
                        <c:v>44886</c:v>
                      </c:pt>
                      <c:pt idx="94">
                        <c:v>44887</c:v>
                      </c:pt>
                      <c:pt idx="95">
                        <c:v>44888</c:v>
                      </c:pt>
                      <c:pt idx="96">
                        <c:v>44889</c:v>
                      </c:pt>
                      <c:pt idx="97">
                        <c:v>44890</c:v>
                      </c:pt>
                      <c:pt idx="98">
                        <c:v>44893</c:v>
                      </c:pt>
                      <c:pt idx="99">
                        <c:v>44894</c:v>
                      </c:pt>
                      <c:pt idx="100">
                        <c:v>44895</c:v>
                      </c:pt>
                      <c:pt idx="101">
                        <c:v>44896</c:v>
                      </c:pt>
                      <c:pt idx="102">
                        <c:v>44897</c:v>
                      </c:pt>
                      <c:pt idx="103">
                        <c:v>44900</c:v>
                      </c:pt>
                      <c:pt idx="104">
                        <c:v>44901</c:v>
                      </c:pt>
                      <c:pt idx="105">
                        <c:v>44902</c:v>
                      </c:pt>
                      <c:pt idx="106">
                        <c:v>44903</c:v>
                      </c:pt>
                      <c:pt idx="107">
                        <c:v>44904</c:v>
                      </c:pt>
                      <c:pt idx="108">
                        <c:v>44907</c:v>
                      </c:pt>
                      <c:pt idx="109">
                        <c:v>44908</c:v>
                      </c:pt>
                      <c:pt idx="110">
                        <c:v>44909</c:v>
                      </c:pt>
                      <c:pt idx="111">
                        <c:v>44910</c:v>
                      </c:pt>
                      <c:pt idx="112">
                        <c:v>44911</c:v>
                      </c:pt>
                      <c:pt idx="113">
                        <c:v>44914</c:v>
                      </c:pt>
                      <c:pt idx="114">
                        <c:v>44915</c:v>
                      </c:pt>
                      <c:pt idx="115">
                        <c:v>44916</c:v>
                      </c:pt>
                      <c:pt idx="116">
                        <c:v>44917</c:v>
                      </c:pt>
                      <c:pt idx="117">
                        <c:v>44918</c:v>
                      </c:pt>
                      <c:pt idx="118">
                        <c:v>44921</c:v>
                      </c:pt>
                      <c:pt idx="119">
                        <c:v>44922</c:v>
                      </c:pt>
                      <c:pt idx="120">
                        <c:v>44923</c:v>
                      </c:pt>
                      <c:pt idx="121">
                        <c:v>44924</c:v>
                      </c:pt>
                      <c:pt idx="122">
                        <c:v>44925</c:v>
                      </c:pt>
                      <c:pt idx="123">
                        <c:v>44928</c:v>
                      </c:pt>
                      <c:pt idx="124">
                        <c:v>44929</c:v>
                      </c:pt>
                      <c:pt idx="125">
                        <c:v>44930</c:v>
                      </c:pt>
                      <c:pt idx="126">
                        <c:v>44931</c:v>
                      </c:pt>
                      <c:pt idx="127">
                        <c:v>44932</c:v>
                      </c:pt>
                      <c:pt idx="128">
                        <c:v>44935</c:v>
                      </c:pt>
                      <c:pt idx="129">
                        <c:v>44936</c:v>
                      </c:pt>
                      <c:pt idx="130">
                        <c:v>44937</c:v>
                      </c:pt>
                      <c:pt idx="131">
                        <c:v>44938</c:v>
                      </c:pt>
                      <c:pt idx="132">
                        <c:v>44939</c:v>
                      </c:pt>
                      <c:pt idx="133">
                        <c:v>44942</c:v>
                      </c:pt>
                      <c:pt idx="134">
                        <c:v>44943</c:v>
                      </c:pt>
                      <c:pt idx="135">
                        <c:v>44944</c:v>
                      </c:pt>
                      <c:pt idx="136">
                        <c:v>44945</c:v>
                      </c:pt>
                      <c:pt idx="137">
                        <c:v>44946</c:v>
                      </c:pt>
                      <c:pt idx="138">
                        <c:v>44949</c:v>
                      </c:pt>
                      <c:pt idx="139">
                        <c:v>44950</c:v>
                      </c:pt>
                      <c:pt idx="140">
                        <c:v>44951</c:v>
                      </c:pt>
                      <c:pt idx="141">
                        <c:v>44952</c:v>
                      </c:pt>
                      <c:pt idx="142">
                        <c:v>44953</c:v>
                      </c:pt>
                      <c:pt idx="143">
                        <c:v>44956</c:v>
                      </c:pt>
                      <c:pt idx="144">
                        <c:v>44957</c:v>
                      </c:pt>
                      <c:pt idx="145">
                        <c:v>44958</c:v>
                      </c:pt>
                      <c:pt idx="146">
                        <c:v>44959</c:v>
                      </c:pt>
                      <c:pt idx="147">
                        <c:v>44960</c:v>
                      </c:pt>
                      <c:pt idx="148">
                        <c:v>44963</c:v>
                      </c:pt>
                      <c:pt idx="149">
                        <c:v>44964</c:v>
                      </c:pt>
                      <c:pt idx="150">
                        <c:v>44965</c:v>
                      </c:pt>
                      <c:pt idx="151">
                        <c:v>44966</c:v>
                      </c:pt>
                      <c:pt idx="152">
                        <c:v>44967</c:v>
                      </c:pt>
                      <c:pt idx="153">
                        <c:v>44970</c:v>
                      </c:pt>
                      <c:pt idx="154">
                        <c:v>44971</c:v>
                      </c:pt>
                      <c:pt idx="155">
                        <c:v>44972</c:v>
                      </c:pt>
                      <c:pt idx="156">
                        <c:v>44973</c:v>
                      </c:pt>
                      <c:pt idx="157">
                        <c:v>44974</c:v>
                      </c:pt>
                      <c:pt idx="158">
                        <c:v>44977</c:v>
                      </c:pt>
                      <c:pt idx="159">
                        <c:v>44978</c:v>
                      </c:pt>
                      <c:pt idx="160">
                        <c:v>44979</c:v>
                      </c:pt>
                      <c:pt idx="161">
                        <c:v>44980</c:v>
                      </c:pt>
                      <c:pt idx="162">
                        <c:v>44981</c:v>
                      </c:pt>
                      <c:pt idx="163">
                        <c:v>44984</c:v>
                      </c:pt>
                      <c:pt idx="164">
                        <c:v>44985</c:v>
                      </c:pt>
                      <c:pt idx="165">
                        <c:v>44986</c:v>
                      </c:pt>
                      <c:pt idx="166">
                        <c:v>44987</c:v>
                      </c:pt>
                      <c:pt idx="167">
                        <c:v>44988</c:v>
                      </c:pt>
                      <c:pt idx="168">
                        <c:v>44991</c:v>
                      </c:pt>
                      <c:pt idx="169">
                        <c:v>44992</c:v>
                      </c:pt>
                      <c:pt idx="170">
                        <c:v>44993</c:v>
                      </c:pt>
                      <c:pt idx="171">
                        <c:v>44994</c:v>
                      </c:pt>
                      <c:pt idx="172">
                        <c:v>44995</c:v>
                      </c:pt>
                      <c:pt idx="173">
                        <c:v>44998</c:v>
                      </c:pt>
                      <c:pt idx="174">
                        <c:v>44999</c:v>
                      </c:pt>
                      <c:pt idx="175">
                        <c:v>45000</c:v>
                      </c:pt>
                      <c:pt idx="176">
                        <c:v>45001</c:v>
                      </c:pt>
                      <c:pt idx="177">
                        <c:v>45002</c:v>
                      </c:pt>
                      <c:pt idx="178">
                        <c:v>45005</c:v>
                      </c:pt>
                      <c:pt idx="179">
                        <c:v>45006</c:v>
                      </c:pt>
                      <c:pt idx="180">
                        <c:v>45007</c:v>
                      </c:pt>
                      <c:pt idx="181">
                        <c:v>45008</c:v>
                      </c:pt>
                      <c:pt idx="182">
                        <c:v>45009</c:v>
                      </c:pt>
                      <c:pt idx="183">
                        <c:v>45012</c:v>
                      </c:pt>
                      <c:pt idx="184">
                        <c:v>45013</c:v>
                      </c:pt>
                      <c:pt idx="185">
                        <c:v>45014</c:v>
                      </c:pt>
                      <c:pt idx="186">
                        <c:v>45015</c:v>
                      </c:pt>
                      <c:pt idx="187">
                        <c:v>45016</c:v>
                      </c:pt>
                      <c:pt idx="188">
                        <c:v>45019</c:v>
                      </c:pt>
                      <c:pt idx="189">
                        <c:v>45020</c:v>
                      </c:pt>
                      <c:pt idx="190">
                        <c:v>45021</c:v>
                      </c:pt>
                      <c:pt idx="191">
                        <c:v>45022</c:v>
                      </c:pt>
                      <c:pt idx="192">
                        <c:v>45023</c:v>
                      </c:pt>
                      <c:pt idx="193">
                        <c:v>45026</c:v>
                      </c:pt>
                      <c:pt idx="194">
                        <c:v>45027</c:v>
                      </c:pt>
                      <c:pt idx="195">
                        <c:v>45028</c:v>
                      </c:pt>
                      <c:pt idx="196">
                        <c:v>45029</c:v>
                      </c:pt>
                      <c:pt idx="197">
                        <c:v>45030</c:v>
                      </c:pt>
                      <c:pt idx="198">
                        <c:v>45033</c:v>
                      </c:pt>
                      <c:pt idx="199">
                        <c:v>45034</c:v>
                      </c:pt>
                      <c:pt idx="200">
                        <c:v>45035</c:v>
                      </c:pt>
                      <c:pt idx="201">
                        <c:v>45036</c:v>
                      </c:pt>
                      <c:pt idx="202">
                        <c:v>45037</c:v>
                      </c:pt>
                      <c:pt idx="203">
                        <c:v>45040</c:v>
                      </c:pt>
                      <c:pt idx="204">
                        <c:v>45041</c:v>
                      </c:pt>
                      <c:pt idx="205">
                        <c:v>45042</c:v>
                      </c:pt>
                      <c:pt idx="206">
                        <c:v>45043</c:v>
                      </c:pt>
                      <c:pt idx="207">
                        <c:v>45044</c:v>
                      </c:pt>
                      <c:pt idx="208">
                        <c:v>45047</c:v>
                      </c:pt>
                      <c:pt idx="209">
                        <c:v>45048</c:v>
                      </c:pt>
                      <c:pt idx="210">
                        <c:v>45049</c:v>
                      </c:pt>
                      <c:pt idx="211">
                        <c:v>45050</c:v>
                      </c:pt>
                      <c:pt idx="212">
                        <c:v>45051</c:v>
                      </c:pt>
                      <c:pt idx="213">
                        <c:v>45054</c:v>
                      </c:pt>
                      <c:pt idx="214">
                        <c:v>45055</c:v>
                      </c:pt>
                      <c:pt idx="215">
                        <c:v>45056</c:v>
                      </c:pt>
                      <c:pt idx="216">
                        <c:v>45057</c:v>
                      </c:pt>
                      <c:pt idx="217">
                        <c:v>45058</c:v>
                      </c:pt>
                      <c:pt idx="218">
                        <c:v>45061</c:v>
                      </c:pt>
                      <c:pt idx="219">
                        <c:v>45062</c:v>
                      </c:pt>
                      <c:pt idx="220">
                        <c:v>45063</c:v>
                      </c:pt>
                      <c:pt idx="221">
                        <c:v>45064</c:v>
                      </c:pt>
                      <c:pt idx="222">
                        <c:v>45065</c:v>
                      </c:pt>
                      <c:pt idx="223">
                        <c:v>45068</c:v>
                      </c:pt>
                      <c:pt idx="224">
                        <c:v>45069</c:v>
                      </c:pt>
                      <c:pt idx="225">
                        <c:v>45070</c:v>
                      </c:pt>
                      <c:pt idx="226">
                        <c:v>45071</c:v>
                      </c:pt>
                      <c:pt idx="227">
                        <c:v>45072</c:v>
                      </c:pt>
                      <c:pt idx="228">
                        <c:v>45075</c:v>
                      </c:pt>
                      <c:pt idx="229">
                        <c:v>45076</c:v>
                      </c:pt>
                      <c:pt idx="230">
                        <c:v>45077</c:v>
                      </c:pt>
                      <c:pt idx="231">
                        <c:v>45078</c:v>
                      </c:pt>
                      <c:pt idx="232">
                        <c:v>45079</c:v>
                      </c:pt>
                      <c:pt idx="233">
                        <c:v>45082</c:v>
                      </c:pt>
                      <c:pt idx="234">
                        <c:v>45083</c:v>
                      </c:pt>
                      <c:pt idx="235">
                        <c:v>45084</c:v>
                      </c:pt>
                      <c:pt idx="236">
                        <c:v>45085</c:v>
                      </c:pt>
                      <c:pt idx="237">
                        <c:v>45086</c:v>
                      </c:pt>
                      <c:pt idx="238">
                        <c:v>45089</c:v>
                      </c:pt>
                      <c:pt idx="239">
                        <c:v>45090</c:v>
                      </c:pt>
                      <c:pt idx="240">
                        <c:v>45091</c:v>
                      </c:pt>
                      <c:pt idx="241">
                        <c:v>45092</c:v>
                      </c:pt>
                      <c:pt idx="242">
                        <c:v>45093</c:v>
                      </c:pt>
                      <c:pt idx="243">
                        <c:v>45096</c:v>
                      </c:pt>
                      <c:pt idx="244">
                        <c:v>45097</c:v>
                      </c:pt>
                      <c:pt idx="245">
                        <c:v>45098</c:v>
                      </c:pt>
                      <c:pt idx="246">
                        <c:v>45099</c:v>
                      </c:pt>
                      <c:pt idx="247">
                        <c:v>45100</c:v>
                      </c:pt>
                      <c:pt idx="248">
                        <c:v>45103</c:v>
                      </c:pt>
                      <c:pt idx="249">
                        <c:v>45104</c:v>
                      </c:pt>
                      <c:pt idx="250">
                        <c:v>45105</c:v>
                      </c:pt>
                      <c:pt idx="251">
                        <c:v>45106</c:v>
                      </c:pt>
                      <c:pt idx="252">
                        <c:v>45107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Sheet1!$AI$7:$AI$259</c15:sqref>
                        </c15:formulaRef>
                      </c:ext>
                    </c:extLst>
                    <c:numCache>
                      <c:formatCode>0.0000000000</c:formatCode>
                      <c:ptCount val="25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5.9295774647887313E-5</c:v>
                      </c:pt>
                      <c:pt idx="50">
                        <c:v>5.8303886925795042E-5</c:v>
                      </c:pt>
                      <c:pt idx="51">
                        <c:v>5.8303886925795604E-5</c:v>
                      </c:pt>
                      <c:pt idx="52">
                        <c:v>5.8303886925795029E-5</c:v>
                      </c:pt>
                      <c:pt idx="53">
                        <c:v>5.8303886925796025E-5</c:v>
                      </c:pt>
                      <c:pt idx="54">
                        <c:v>5.8303886925795869E-5</c:v>
                      </c:pt>
                      <c:pt idx="55">
                        <c:v>5.8303886925795272E-5</c:v>
                      </c:pt>
                      <c:pt idx="56">
                        <c:v>5.8303886925796296E-5</c:v>
                      </c:pt>
                      <c:pt idx="57">
                        <c:v>5.8303886925795699E-5</c:v>
                      </c:pt>
                      <c:pt idx="58">
                        <c:v>5.8303886925795103E-5</c:v>
                      </c:pt>
                      <c:pt idx="59">
                        <c:v>5.8303886925794927E-5</c:v>
                      </c:pt>
                      <c:pt idx="60">
                        <c:v>5.8303886925794317E-5</c:v>
                      </c:pt>
                      <c:pt idx="61">
                        <c:v>5.8303886925793707E-5</c:v>
                      </c:pt>
                      <c:pt idx="62">
                        <c:v>5.8303886925794751E-5</c:v>
                      </c:pt>
                      <c:pt idx="63">
                        <c:v>5.8303886925795801E-5</c:v>
                      </c:pt>
                      <c:pt idx="64">
                        <c:v>5.8303886925795632E-5</c:v>
                      </c:pt>
                      <c:pt idx="65">
                        <c:v>5.8303886925795008E-5</c:v>
                      </c:pt>
                      <c:pt idx="66">
                        <c:v>5.8303886925796079E-5</c:v>
                      </c:pt>
                      <c:pt idx="67">
                        <c:v>5.8303886925795455E-5</c:v>
                      </c:pt>
                      <c:pt idx="68">
                        <c:v>5.8303886925794825E-5</c:v>
                      </c:pt>
                      <c:pt idx="69">
                        <c:v>5.8303886925794635E-5</c:v>
                      </c:pt>
                      <c:pt idx="70">
                        <c:v>5.8303886925795733E-5</c:v>
                      </c:pt>
                      <c:pt idx="71">
                        <c:v>5.8303886925795089E-5</c:v>
                      </c:pt>
                      <c:pt idx="72">
                        <c:v>5.8303886925794446E-5</c:v>
                      </c:pt>
                      <c:pt idx="73">
                        <c:v>5.830388692579555E-5</c:v>
                      </c:pt>
                      <c:pt idx="74">
                        <c:v>5.8303886925795367E-5</c:v>
                      </c:pt>
                      <c:pt idx="75">
                        <c:v>5.830388692579471E-5</c:v>
                      </c:pt>
                      <c:pt idx="76">
                        <c:v>5.8303886925794046E-5</c:v>
                      </c:pt>
                      <c:pt idx="77">
                        <c:v>5.8303886925793375E-5</c:v>
                      </c:pt>
                      <c:pt idx="78">
                        <c:v>5.8303886925794514E-5</c:v>
                      </c:pt>
                      <c:pt idx="79">
                        <c:v>5.830388692579431E-5</c:v>
                      </c:pt>
                      <c:pt idx="80">
                        <c:v>5.8303886925795469E-5</c:v>
                      </c:pt>
                      <c:pt idx="81">
                        <c:v>5.8303886925794785E-5</c:v>
                      </c:pt>
                      <c:pt idx="82">
                        <c:v>5.83038869257941E-5</c:v>
                      </c:pt>
                      <c:pt idx="83">
                        <c:v>5.8303886925793409E-5</c:v>
                      </c:pt>
                      <c:pt idx="84">
                        <c:v>5.8303886925793185E-5</c:v>
                      </c:pt>
                      <c:pt idx="85">
                        <c:v>5.8303886925794378E-5</c:v>
                      </c:pt>
                      <c:pt idx="86">
                        <c:v>5.8303886925795577E-5</c:v>
                      </c:pt>
                      <c:pt idx="87">
                        <c:v>5.8303886925794873E-5</c:v>
                      </c:pt>
                      <c:pt idx="88">
                        <c:v>5.8303886925794161E-5</c:v>
                      </c:pt>
                      <c:pt idx="89">
                        <c:v>5.8303886925793944E-5</c:v>
                      </c:pt>
                      <c:pt idx="90">
                        <c:v>5.8303886925795171E-5</c:v>
                      </c:pt>
                      <c:pt idx="91">
                        <c:v>5.8303886925794446E-5</c:v>
                      </c:pt>
                      <c:pt idx="92">
                        <c:v>5.8303886925795693E-5</c:v>
                      </c:pt>
                      <c:pt idx="93">
                        <c:v>5.8303886925794961E-5</c:v>
                      </c:pt>
                      <c:pt idx="94">
                        <c:v>5.8303886925794744E-5</c:v>
                      </c:pt>
                      <c:pt idx="95">
                        <c:v>5.8303886925796018E-5</c:v>
                      </c:pt>
                      <c:pt idx="96">
                        <c:v>5.8303886925795272E-5</c:v>
                      </c:pt>
                      <c:pt idx="97">
                        <c:v>5.830388692579656E-5</c:v>
                      </c:pt>
                      <c:pt idx="98">
                        <c:v>5.8303886925795815E-5</c:v>
                      </c:pt>
                      <c:pt idx="99">
                        <c:v>5.8303886925797678E-5</c:v>
                      </c:pt>
                      <c:pt idx="100">
                        <c:v>5.8303886925799006E-5</c:v>
                      </c:pt>
                      <c:pt idx="101">
                        <c:v>5.8303886925800348E-5</c:v>
                      </c:pt>
                      <c:pt idx="102">
                        <c:v>5.8303886925799596E-5</c:v>
                      </c:pt>
                      <c:pt idx="103">
                        <c:v>5.8303886925800951E-5</c:v>
                      </c:pt>
                      <c:pt idx="104">
                        <c:v>5.8303886925800809E-5</c:v>
                      </c:pt>
                      <c:pt idx="105">
                        <c:v>5.8303886925802191E-5</c:v>
                      </c:pt>
                      <c:pt idx="106">
                        <c:v>5.8303886925801432E-5</c:v>
                      </c:pt>
                      <c:pt idx="107">
                        <c:v>5.830388692580066E-5</c:v>
                      </c:pt>
                      <c:pt idx="108">
                        <c:v>5.8303886925802069E-5</c:v>
                      </c:pt>
                      <c:pt idx="109">
                        <c:v>5.8303886925801934E-5</c:v>
                      </c:pt>
                      <c:pt idx="110">
                        <c:v>5.8303886925801147E-5</c:v>
                      </c:pt>
                      <c:pt idx="111">
                        <c:v>5.8303886925800348E-5</c:v>
                      </c:pt>
                      <c:pt idx="112">
                        <c:v>5.8303886925799541E-5</c:v>
                      </c:pt>
                      <c:pt idx="113">
                        <c:v>5.8303886925798728E-5</c:v>
                      </c:pt>
                      <c:pt idx="114">
                        <c:v>5.8303886925800843E-5</c:v>
                      </c:pt>
                      <c:pt idx="115">
                        <c:v>5.8303886925800023E-5</c:v>
                      </c:pt>
                      <c:pt idx="116">
                        <c:v>5.8303886925799189E-5</c:v>
                      </c:pt>
                      <c:pt idx="117">
                        <c:v>5.8303886925798349E-5</c:v>
                      </c:pt>
                      <c:pt idx="118">
                        <c:v>5.8303886925797502E-5</c:v>
                      </c:pt>
                      <c:pt idx="119">
                        <c:v>5.8303886925797285E-5</c:v>
                      </c:pt>
                      <c:pt idx="120">
                        <c:v>5.8303886925796411E-5</c:v>
                      </c:pt>
                      <c:pt idx="121">
                        <c:v>5.8303886925795523E-5</c:v>
                      </c:pt>
                      <c:pt idx="122">
                        <c:v>5.8303886925794635E-5</c:v>
                      </c:pt>
                      <c:pt idx="123">
                        <c:v>5.8303886925796174E-5</c:v>
                      </c:pt>
                      <c:pt idx="124">
                        <c:v>5.8303886925795923E-5</c:v>
                      </c:pt>
                      <c:pt idx="125">
                        <c:v>5.8303886925797502E-5</c:v>
                      </c:pt>
                      <c:pt idx="126">
                        <c:v>5.8303886925796594E-5</c:v>
                      </c:pt>
                      <c:pt idx="127">
                        <c:v>5.8303886925798193E-5</c:v>
                      </c:pt>
                      <c:pt idx="128">
                        <c:v>5.8303886925797278E-5</c:v>
                      </c:pt>
                      <c:pt idx="129">
                        <c:v>5.8303886925797041E-5</c:v>
                      </c:pt>
                      <c:pt idx="130">
                        <c:v>5.8303886925796092E-5</c:v>
                      </c:pt>
                      <c:pt idx="131">
                        <c:v>5.8303886925797746E-5</c:v>
                      </c:pt>
                      <c:pt idx="132">
                        <c:v>5.830388692579942E-5</c:v>
                      </c:pt>
                      <c:pt idx="133">
                        <c:v>5.8303886925801114E-5</c:v>
                      </c:pt>
                      <c:pt idx="134">
                        <c:v>5.8303886925800937E-5</c:v>
                      </c:pt>
                      <c:pt idx="135">
                        <c:v>5.8303886925799975E-5</c:v>
                      </c:pt>
                      <c:pt idx="136">
                        <c:v>5.8303886925798999E-5</c:v>
                      </c:pt>
                      <c:pt idx="137">
                        <c:v>5.830388692579801E-5</c:v>
                      </c:pt>
                      <c:pt idx="138">
                        <c:v>5.8303886925799772E-5</c:v>
                      </c:pt>
                      <c:pt idx="139">
                        <c:v>5.8303886925802374E-5</c:v>
                      </c:pt>
                      <c:pt idx="140">
                        <c:v>5.8303886925804204E-5</c:v>
                      </c:pt>
                      <c:pt idx="141">
                        <c:v>5.830388692580606E-5</c:v>
                      </c:pt>
                      <c:pt idx="142">
                        <c:v>5.8303886925805071E-5</c:v>
                      </c:pt>
                      <c:pt idx="143">
                        <c:v>5.8303886925806955E-5</c:v>
                      </c:pt>
                      <c:pt idx="144">
                        <c:v>5.830388692580688E-5</c:v>
                      </c:pt>
                      <c:pt idx="145">
                        <c:v>5.8303886925808825E-5</c:v>
                      </c:pt>
                      <c:pt idx="146">
                        <c:v>5.8303886925807822E-5</c:v>
                      </c:pt>
                      <c:pt idx="147">
                        <c:v>5.8303886925806799E-5</c:v>
                      </c:pt>
                      <c:pt idx="148">
                        <c:v>5.8303886925805762E-5</c:v>
                      </c:pt>
                      <c:pt idx="149">
                        <c:v>5.830388692580566E-5</c:v>
                      </c:pt>
                      <c:pt idx="150">
                        <c:v>5.8303886925807693E-5</c:v>
                      </c:pt>
                      <c:pt idx="151">
                        <c:v>5.8303886925806629E-5</c:v>
                      </c:pt>
                      <c:pt idx="152">
                        <c:v>5.8303886925805545E-5</c:v>
                      </c:pt>
                      <c:pt idx="153">
                        <c:v>5.8303886925804454E-5</c:v>
                      </c:pt>
                      <c:pt idx="154">
                        <c:v>5.8303886925804312E-5</c:v>
                      </c:pt>
                      <c:pt idx="155">
                        <c:v>5.830388692580644E-5</c:v>
                      </c:pt>
                      <c:pt idx="156">
                        <c:v>5.8303886925808601E-5</c:v>
                      </c:pt>
                      <c:pt idx="157">
                        <c:v>5.8303886925807476E-5</c:v>
                      </c:pt>
                      <c:pt idx="158">
                        <c:v>5.8303886925806338E-5</c:v>
                      </c:pt>
                      <c:pt idx="159">
                        <c:v>5.8303886925806236E-5</c:v>
                      </c:pt>
                      <c:pt idx="160">
                        <c:v>5.8303886925805051E-5</c:v>
                      </c:pt>
                      <c:pt idx="161">
                        <c:v>5.8303886925807321E-5</c:v>
                      </c:pt>
                      <c:pt idx="162">
                        <c:v>5.8303886925806128E-5</c:v>
                      </c:pt>
                      <c:pt idx="163">
                        <c:v>5.8303886925804915E-5</c:v>
                      </c:pt>
                      <c:pt idx="164">
                        <c:v>5.8303886925804773E-5</c:v>
                      </c:pt>
                      <c:pt idx="165">
                        <c:v>5.8303886925803506E-5</c:v>
                      </c:pt>
                      <c:pt idx="166">
                        <c:v>5.8303886925805891E-5</c:v>
                      </c:pt>
                      <c:pt idx="167">
                        <c:v>5.8303886925804617E-5</c:v>
                      </c:pt>
                      <c:pt idx="168">
                        <c:v>5.830388692580705E-5</c:v>
                      </c:pt>
                      <c:pt idx="169">
                        <c:v>5.8303886925806955E-5</c:v>
                      </c:pt>
                      <c:pt idx="170">
                        <c:v>5.8303886925805633E-5</c:v>
                      </c:pt>
                      <c:pt idx="171">
                        <c:v>5.8303886925804292E-5</c:v>
                      </c:pt>
                      <c:pt idx="172">
                        <c:v>5.8303886925806853E-5</c:v>
                      </c:pt>
                      <c:pt idx="173">
                        <c:v>5.8303886925809455E-5</c:v>
                      </c:pt>
                      <c:pt idx="174">
                        <c:v>5.8303886925809421E-5</c:v>
                      </c:pt>
                      <c:pt idx="175">
                        <c:v>5.8303886925812145E-5</c:v>
                      </c:pt>
                      <c:pt idx="176">
                        <c:v>5.8303886925810777E-5</c:v>
                      </c:pt>
                      <c:pt idx="177">
                        <c:v>5.8303886925809381E-5</c:v>
                      </c:pt>
                      <c:pt idx="178">
                        <c:v>5.8303886925812186E-5</c:v>
                      </c:pt>
                      <c:pt idx="179">
                        <c:v>5.830388692581222E-5</c:v>
                      </c:pt>
                      <c:pt idx="180">
                        <c:v>5.830388692581077E-5</c:v>
                      </c:pt>
                      <c:pt idx="181">
                        <c:v>5.8303886925813731E-5</c:v>
                      </c:pt>
                      <c:pt idx="182">
                        <c:v>5.8303886925812267E-5</c:v>
                      </c:pt>
                      <c:pt idx="183">
                        <c:v>5.8303886925815296E-5</c:v>
                      </c:pt>
                      <c:pt idx="184">
                        <c:v>5.8303886925815439E-5</c:v>
                      </c:pt>
                      <c:pt idx="185">
                        <c:v>5.8303886925813914E-5</c:v>
                      </c:pt>
                      <c:pt idx="186">
                        <c:v>5.8303886925812355E-5</c:v>
                      </c:pt>
                      <c:pt idx="187">
                        <c:v>5.8303886925815588E-5</c:v>
                      </c:pt>
                      <c:pt idx="188">
                        <c:v>5.8303886925814016E-5</c:v>
                      </c:pt>
                      <c:pt idx="189">
                        <c:v>5.8303886925814124E-5</c:v>
                      </c:pt>
                      <c:pt idx="190">
                        <c:v>5.8303886925812457E-5</c:v>
                      </c:pt>
                      <c:pt idx="191">
                        <c:v>5.8303886925810756E-5</c:v>
                      </c:pt>
                      <c:pt idx="192">
                        <c:v>5.8303886925809015E-5</c:v>
                      </c:pt>
                      <c:pt idx="193">
                        <c:v>5.8303886925807226E-5</c:v>
                      </c:pt>
                      <c:pt idx="194">
                        <c:v>5.830388692580709E-5</c:v>
                      </c:pt>
                      <c:pt idx="195">
                        <c:v>5.8303886925805193E-5</c:v>
                      </c:pt>
                      <c:pt idx="196">
                        <c:v>5.8303886925803248E-5</c:v>
                      </c:pt>
                      <c:pt idx="197">
                        <c:v>5.8303886925806948E-5</c:v>
                      </c:pt>
                      <c:pt idx="198">
                        <c:v>5.8303886925804976E-5</c:v>
                      </c:pt>
                      <c:pt idx="199">
                        <c:v>5.8303886925804739E-5</c:v>
                      </c:pt>
                      <c:pt idx="200">
                        <c:v>5.8303886925802625E-5</c:v>
                      </c:pt>
                      <c:pt idx="201">
                        <c:v>5.8303886925800456E-5</c:v>
                      </c:pt>
                      <c:pt idx="202">
                        <c:v>5.830388692579822E-5</c:v>
                      </c:pt>
                      <c:pt idx="203">
                        <c:v>5.830388692579593E-5</c:v>
                      </c:pt>
                      <c:pt idx="204">
                        <c:v>5.8303886925795259E-5</c:v>
                      </c:pt>
                      <c:pt idx="205">
                        <c:v>5.8303886925792779E-5</c:v>
                      </c:pt>
                      <c:pt idx="206">
                        <c:v>5.8303886925790224E-5</c:v>
                      </c:pt>
                      <c:pt idx="207">
                        <c:v>5.8303886925794527E-5</c:v>
                      </c:pt>
                      <c:pt idx="208">
                        <c:v>5.8303886925798966E-5</c:v>
                      </c:pt>
                      <c:pt idx="209">
                        <c:v>5.8303886925798369E-5</c:v>
                      </c:pt>
                      <c:pt idx="210">
                        <c:v>5.8303886925795652E-5</c:v>
                      </c:pt>
                      <c:pt idx="211">
                        <c:v>5.830388692579284E-5</c:v>
                      </c:pt>
                      <c:pt idx="212">
                        <c:v>5.8303886925789926E-5</c:v>
                      </c:pt>
                      <c:pt idx="213">
                        <c:v>5.8303886925786904E-5</c:v>
                      </c:pt>
                      <c:pt idx="214">
                        <c:v>5.8303886925785549E-5</c:v>
                      </c:pt>
                      <c:pt idx="215">
                        <c:v>5.8303886925790759E-5</c:v>
                      </c:pt>
                      <c:pt idx="216">
                        <c:v>5.8303886925787459E-5</c:v>
                      </c:pt>
                      <c:pt idx="217">
                        <c:v>5.8303886925784031E-5</c:v>
                      </c:pt>
                      <c:pt idx="218">
                        <c:v>5.8303886925789526E-5</c:v>
                      </c:pt>
                      <c:pt idx="219">
                        <c:v>5.8303886925788137E-5</c:v>
                      </c:pt>
                      <c:pt idx="220">
                        <c:v>5.8303886925794209E-5</c:v>
                      </c:pt>
                      <c:pt idx="221">
                        <c:v>5.8303886925790468E-5</c:v>
                      </c:pt>
                      <c:pt idx="222">
                        <c:v>5.8303886925796878E-5</c:v>
                      </c:pt>
                      <c:pt idx="223">
                        <c:v>5.8303886925803594E-5</c:v>
                      </c:pt>
                      <c:pt idx="224">
                        <c:v>5.8303886925803031E-5</c:v>
                      </c:pt>
                      <c:pt idx="225">
                        <c:v>5.8303886925810621E-5</c:v>
                      </c:pt>
                      <c:pt idx="226">
                        <c:v>5.8303886925806609E-5</c:v>
                      </c:pt>
                      <c:pt idx="227">
                        <c:v>5.8303886925802381E-5</c:v>
                      </c:pt>
                      <c:pt idx="228">
                        <c:v>5.83038869258106E-5</c:v>
                      </c:pt>
                      <c:pt idx="229">
                        <c:v>5.8303886925810573E-5</c:v>
                      </c:pt>
                      <c:pt idx="230">
                        <c:v>5.8303886925820114E-5</c:v>
                      </c:pt>
                      <c:pt idx="231">
                        <c:v>5.8303886925830292E-5</c:v>
                      </c:pt>
                      <c:pt idx="232">
                        <c:v>5.8303886925841168E-5</c:v>
                      </c:pt>
                      <c:pt idx="233">
                        <c:v>5.8303886925836967E-5</c:v>
                      </c:pt>
                      <c:pt idx="234">
                        <c:v>5.8303886925822337E-5</c:v>
                      </c:pt>
                      <c:pt idx="235">
                        <c:v>5.8303886925835151E-5</c:v>
                      </c:pt>
                      <c:pt idx="236">
                        <c:v>5.830388692582977E-5</c:v>
                      </c:pt>
                      <c:pt idx="237">
                        <c:v>5.8303886925844082E-5</c:v>
                      </c:pt>
                      <c:pt idx="238">
                        <c:v>5.830388692583862E-5</c:v>
                      </c:pt>
                      <c:pt idx="239">
                        <c:v>5.8303886925818569E-5</c:v>
                      </c:pt>
                      <c:pt idx="240">
                        <c:v>5.8303886925810316E-5</c:v>
                      </c:pt>
                      <c:pt idx="241">
                        <c:v>5.8303886925801032E-5</c:v>
                      </c:pt>
                      <c:pt idx="242">
                        <c:v>5.8303886925820114E-5</c:v>
                      </c:pt>
                      <c:pt idx="243">
                        <c:v>5.830388692584192E-5</c:v>
                      </c:pt>
                      <c:pt idx="244">
                        <c:v>5.8303886925850391E-5</c:v>
                      </c:pt>
                      <c:pt idx="245">
                        <c:v>5.8303886925839542E-5</c:v>
                      </c:pt>
                      <c:pt idx="246">
                        <c:v>5.8303886925826281E-5</c:v>
                      </c:pt>
                      <c:pt idx="247">
                        <c:v>5.8303886925809706E-5</c:v>
                      </c:pt>
                      <c:pt idx="248">
                        <c:v>5.8303886925851834E-5</c:v>
                      </c:pt>
                      <c:pt idx="249">
                        <c:v>5.8303886925882564E-5</c:v>
                      </c:pt>
                      <c:pt idx="250">
                        <c:v>5.8303886925857119E-5</c:v>
                      </c:pt>
                      <c:pt idx="251">
                        <c:v>5.8303886925806236E-5</c:v>
                      </c:pt>
                      <c:pt idx="252">
                        <c:v>5.8303886925653581E-5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376-4F12-B3CF-393662CCA44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Sheet1!$AJ$6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Sheet1!$AG$7:$AG$259</c15:sqref>
                        </c15:formulaRef>
                      </c:ext>
                    </c:extLst>
                    <c:numCache>
                      <c:formatCode>[$-408]d\-mmm;@</c:formatCode>
                      <c:ptCount val="253"/>
                      <c:pt idx="0">
                        <c:v>44755</c:v>
                      </c:pt>
                      <c:pt idx="1">
                        <c:v>44756</c:v>
                      </c:pt>
                      <c:pt idx="2">
                        <c:v>44757</c:v>
                      </c:pt>
                      <c:pt idx="3">
                        <c:v>44760</c:v>
                      </c:pt>
                      <c:pt idx="4">
                        <c:v>44761</c:v>
                      </c:pt>
                      <c:pt idx="5">
                        <c:v>44762</c:v>
                      </c:pt>
                      <c:pt idx="6">
                        <c:v>44763</c:v>
                      </c:pt>
                      <c:pt idx="7">
                        <c:v>44764</c:v>
                      </c:pt>
                      <c:pt idx="8">
                        <c:v>44767</c:v>
                      </c:pt>
                      <c:pt idx="9">
                        <c:v>44768</c:v>
                      </c:pt>
                      <c:pt idx="10">
                        <c:v>44769</c:v>
                      </c:pt>
                      <c:pt idx="11">
                        <c:v>44770</c:v>
                      </c:pt>
                      <c:pt idx="12">
                        <c:v>44771</c:v>
                      </c:pt>
                      <c:pt idx="13">
                        <c:v>44774</c:v>
                      </c:pt>
                      <c:pt idx="14">
                        <c:v>44775</c:v>
                      </c:pt>
                      <c:pt idx="15">
                        <c:v>44776</c:v>
                      </c:pt>
                      <c:pt idx="16">
                        <c:v>44777</c:v>
                      </c:pt>
                      <c:pt idx="17">
                        <c:v>44778</c:v>
                      </c:pt>
                      <c:pt idx="18">
                        <c:v>44781</c:v>
                      </c:pt>
                      <c:pt idx="19">
                        <c:v>44782</c:v>
                      </c:pt>
                      <c:pt idx="20">
                        <c:v>44783</c:v>
                      </c:pt>
                      <c:pt idx="21">
                        <c:v>44784</c:v>
                      </c:pt>
                      <c:pt idx="22">
                        <c:v>44785</c:v>
                      </c:pt>
                      <c:pt idx="23">
                        <c:v>44788</c:v>
                      </c:pt>
                      <c:pt idx="24">
                        <c:v>44789</c:v>
                      </c:pt>
                      <c:pt idx="25">
                        <c:v>44790</c:v>
                      </c:pt>
                      <c:pt idx="26">
                        <c:v>44791</c:v>
                      </c:pt>
                      <c:pt idx="27">
                        <c:v>44792</c:v>
                      </c:pt>
                      <c:pt idx="28">
                        <c:v>44795</c:v>
                      </c:pt>
                      <c:pt idx="29">
                        <c:v>44796</c:v>
                      </c:pt>
                      <c:pt idx="30">
                        <c:v>44797</c:v>
                      </c:pt>
                      <c:pt idx="31">
                        <c:v>44798</c:v>
                      </c:pt>
                      <c:pt idx="32">
                        <c:v>44799</c:v>
                      </c:pt>
                      <c:pt idx="33">
                        <c:v>44802</c:v>
                      </c:pt>
                      <c:pt idx="34">
                        <c:v>44803</c:v>
                      </c:pt>
                      <c:pt idx="35">
                        <c:v>44804</c:v>
                      </c:pt>
                      <c:pt idx="36">
                        <c:v>44805</c:v>
                      </c:pt>
                      <c:pt idx="37">
                        <c:v>44806</c:v>
                      </c:pt>
                      <c:pt idx="38">
                        <c:v>44809</c:v>
                      </c:pt>
                      <c:pt idx="39">
                        <c:v>44810</c:v>
                      </c:pt>
                      <c:pt idx="40">
                        <c:v>44811</c:v>
                      </c:pt>
                      <c:pt idx="41">
                        <c:v>44812</c:v>
                      </c:pt>
                      <c:pt idx="42">
                        <c:v>44813</c:v>
                      </c:pt>
                      <c:pt idx="43">
                        <c:v>44816</c:v>
                      </c:pt>
                      <c:pt idx="44">
                        <c:v>44817</c:v>
                      </c:pt>
                      <c:pt idx="45">
                        <c:v>44818</c:v>
                      </c:pt>
                      <c:pt idx="46">
                        <c:v>44819</c:v>
                      </c:pt>
                      <c:pt idx="47">
                        <c:v>44820</c:v>
                      </c:pt>
                      <c:pt idx="48">
                        <c:v>44823</c:v>
                      </c:pt>
                      <c:pt idx="49">
                        <c:v>44824</c:v>
                      </c:pt>
                      <c:pt idx="50">
                        <c:v>44825</c:v>
                      </c:pt>
                      <c:pt idx="51">
                        <c:v>44826</c:v>
                      </c:pt>
                      <c:pt idx="52">
                        <c:v>44827</c:v>
                      </c:pt>
                      <c:pt idx="53">
                        <c:v>44830</c:v>
                      </c:pt>
                      <c:pt idx="54">
                        <c:v>44831</c:v>
                      </c:pt>
                      <c:pt idx="55">
                        <c:v>44832</c:v>
                      </c:pt>
                      <c:pt idx="56">
                        <c:v>44833</c:v>
                      </c:pt>
                      <c:pt idx="57">
                        <c:v>44834</c:v>
                      </c:pt>
                      <c:pt idx="58">
                        <c:v>44837</c:v>
                      </c:pt>
                      <c:pt idx="59">
                        <c:v>44838</c:v>
                      </c:pt>
                      <c:pt idx="60">
                        <c:v>44839</c:v>
                      </c:pt>
                      <c:pt idx="61">
                        <c:v>44840</c:v>
                      </c:pt>
                      <c:pt idx="62">
                        <c:v>44841</c:v>
                      </c:pt>
                      <c:pt idx="63">
                        <c:v>44844</c:v>
                      </c:pt>
                      <c:pt idx="64">
                        <c:v>44845</c:v>
                      </c:pt>
                      <c:pt idx="65">
                        <c:v>44846</c:v>
                      </c:pt>
                      <c:pt idx="66">
                        <c:v>44847</c:v>
                      </c:pt>
                      <c:pt idx="67">
                        <c:v>44848</c:v>
                      </c:pt>
                      <c:pt idx="68">
                        <c:v>44851</c:v>
                      </c:pt>
                      <c:pt idx="69">
                        <c:v>44852</c:v>
                      </c:pt>
                      <c:pt idx="70">
                        <c:v>44853</c:v>
                      </c:pt>
                      <c:pt idx="71">
                        <c:v>44854</c:v>
                      </c:pt>
                      <c:pt idx="72">
                        <c:v>44855</c:v>
                      </c:pt>
                      <c:pt idx="73">
                        <c:v>44858</c:v>
                      </c:pt>
                      <c:pt idx="74">
                        <c:v>44859</c:v>
                      </c:pt>
                      <c:pt idx="75">
                        <c:v>44860</c:v>
                      </c:pt>
                      <c:pt idx="76">
                        <c:v>44861</c:v>
                      </c:pt>
                      <c:pt idx="77">
                        <c:v>44862</c:v>
                      </c:pt>
                      <c:pt idx="78">
                        <c:v>44865</c:v>
                      </c:pt>
                      <c:pt idx="79">
                        <c:v>44866</c:v>
                      </c:pt>
                      <c:pt idx="80">
                        <c:v>44867</c:v>
                      </c:pt>
                      <c:pt idx="81">
                        <c:v>44868</c:v>
                      </c:pt>
                      <c:pt idx="82">
                        <c:v>44869</c:v>
                      </c:pt>
                      <c:pt idx="83">
                        <c:v>44872</c:v>
                      </c:pt>
                      <c:pt idx="84">
                        <c:v>44873</c:v>
                      </c:pt>
                      <c:pt idx="85">
                        <c:v>44874</c:v>
                      </c:pt>
                      <c:pt idx="86">
                        <c:v>44875</c:v>
                      </c:pt>
                      <c:pt idx="87">
                        <c:v>44876</c:v>
                      </c:pt>
                      <c:pt idx="88">
                        <c:v>44879</c:v>
                      </c:pt>
                      <c:pt idx="89">
                        <c:v>44880</c:v>
                      </c:pt>
                      <c:pt idx="90">
                        <c:v>44881</c:v>
                      </c:pt>
                      <c:pt idx="91">
                        <c:v>44882</c:v>
                      </c:pt>
                      <c:pt idx="92">
                        <c:v>44883</c:v>
                      </c:pt>
                      <c:pt idx="93">
                        <c:v>44886</c:v>
                      </c:pt>
                      <c:pt idx="94">
                        <c:v>44887</c:v>
                      </c:pt>
                      <c:pt idx="95">
                        <c:v>44888</c:v>
                      </c:pt>
                      <c:pt idx="96">
                        <c:v>44889</c:v>
                      </c:pt>
                      <c:pt idx="97">
                        <c:v>44890</c:v>
                      </c:pt>
                      <c:pt idx="98">
                        <c:v>44893</c:v>
                      </c:pt>
                      <c:pt idx="99">
                        <c:v>44894</c:v>
                      </c:pt>
                      <c:pt idx="100">
                        <c:v>44895</c:v>
                      </c:pt>
                      <c:pt idx="101">
                        <c:v>44896</c:v>
                      </c:pt>
                      <c:pt idx="102">
                        <c:v>44897</c:v>
                      </c:pt>
                      <c:pt idx="103">
                        <c:v>44900</c:v>
                      </c:pt>
                      <c:pt idx="104">
                        <c:v>44901</c:v>
                      </c:pt>
                      <c:pt idx="105">
                        <c:v>44902</c:v>
                      </c:pt>
                      <c:pt idx="106">
                        <c:v>44903</c:v>
                      </c:pt>
                      <c:pt idx="107">
                        <c:v>44904</c:v>
                      </c:pt>
                      <c:pt idx="108">
                        <c:v>44907</c:v>
                      </c:pt>
                      <c:pt idx="109">
                        <c:v>44908</c:v>
                      </c:pt>
                      <c:pt idx="110">
                        <c:v>44909</c:v>
                      </c:pt>
                      <c:pt idx="111">
                        <c:v>44910</c:v>
                      </c:pt>
                      <c:pt idx="112">
                        <c:v>44911</c:v>
                      </c:pt>
                      <c:pt idx="113">
                        <c:v>44914</c:v>
                      </c:pt>
                      <c:pt idx="114">
                        <c:v>44915</c:v>
                      </c:pt>
                      <c:pt idx="115">
                        <c:v>44916</c:v>
                      </c:pt>
                      <c:pt idx="116">
                        <c:v>44917</c:v>
                      </c:pt>
                      <c:pt idx="117">
                        <c:v>44918</c:v>
                      </c:pt>
                      <c:pt idx="118">
                        <c:v>44921</c:v>
                      </c:pt>
                      <c:pt idx="119">
                        <c:v>44922</c:v>
                      </c:pt>
                      <c:pt idx="120">
                        <c:v>44923</c:v>
                      </c:pt>
                      <c:pt idx="121">
                        <c:v>44924</c:v>
                      </c:pt>
                      <c:pt idx="122">
                        <c:v>44925</c:v>
                      </c:pt>
                      <c:pt idx="123">
                        <c:v>44928</c:v>
                      </c:pt>
                      <c:pt idx="124">
                        <c:v>44929</c:v>
                      </c:pt>
                      <c:pt idx="125">
                        <c:v>44930</c:v>
                      </c:pt>
                      <c:pt idx="126">
                        <c:v>44931</c:v>
                      </c:pt>
                      <c:pt idx="127">
                        <c:v>44932</c:v>
                      </c:pt>
                      <c:pt idx="128">
                        <c:v>44935</c:v>
                      </c:pt>
                      <c:pt idx="129">
                        <c:v>44936</c:v>
                      </c:pt>
                      <c:pt idx="130">
                        <c:v>44937</c:v>
                      </c:pt>
                      <c:pt idx="131">
                        <c:v>44938</c:v>
                      </c:pt>
                      <c:pt idx="132">
                        <c:v>44939</c:v>
                      </c:pt>
                      <c:pt idx="133">
                        <c:v>44942</c:v>
                      </c:pt>
                      <c:pt idx="134">
                        <c:v>44943</c:v>
                      </c:pt>
                      <c:pt idx="135">
                        <c:v>44944</c:v>
                      </c:pt>
                      <c:pt idx="136">
                        <c:v>44945</c:v>
                      </c:pt>
                      <c:pt idx="137">
                        <c:v>44946</c:v>
                      </c:pt>
                      <c:pt idx="138">
                        <c:v>44949</c:v>
                      </c:pt>
                      <c:pt idx="139">
                        <c:v>44950</c:v>
                      </c:pt>
                      <c:pt idx="140">
                        <c:v>44951</c:v>
                      </c:pt>
                      <c:pt idx="141">
                        <c:v>44952</c:v>
                      </c:pt>
                      <c:pt idx="142">
                        <c:v>44953</c:v>
                      </c:pt>
                      <c:pt idx="143">
                        <c:v>44956</c:v>
                      </c:pt>
                      <c:pt idx="144">
                        <c:v>44957</c:v>
                      </c:pt>
                      <c:pt idx="145">
                        <c:v>44958</c:v>
                      </c:pt>
                      <c:pt idx="146">
                        <c:v>44959</c:v>
                      </c:pt>
                      <c:pt idx="147">
                        <c:v>44960</c:v>
                      </c:pt>
                      <c:pt idx="148">
                        <c:v>44963</c:v>
                      </c:pt>
                      <c:pt idx="149">
                        <c:v>44964</c:v>
                      </c:pt>
                      <c:pt idx="150">
                        <c:v>44965</c:v>
                      </c:pt>
                      <c:pt idx="151">
                        <c:v>44966</c:v>
                      </c:pt>
                      <c:pt idx="152">
                        <c:v>44967</c:v>
                      </c:pt>
                      <c:pt idx="153">
                        <c:v>44970</c:v>
                      </c:pt>
                      <c:pt idx="154">
                        <c:v>44971</c:v>
                      </c:pt>
                      <c:pt idx="155">
                        <c:v>44972</c:v>
                      </c:pt>
                      <c:pt idx="156">
                        <c:v>44973</c:v>
                      </c:pt>
                      <c:pt idx="157">
                        <c:v>44974</c:v>
                      </c:pt>
                      <c:pt idx="158">
                        <c:v>44977</c:v>
                      </c:pt>
                      <c:pt idx="159">
                        <c:v>44978</c:v>
                      </c:pt>
                      <c:pt idx="160">
                        <c:v>44979</c:v>
                      </c:pt>
                      <c:pt idx="161">
                        <c:v>44980</c:v>
                      </c:pt>
                      <c:pt idx="162">
                        <c:v>44981</c:v>
                      </c:pt>
                      <c:pt idx="163">
                        <c:v>44984</c:v>
                      </c:pt>
                      <c:pt idx="164">
                        <c:v>44985</c:v>
                      </c:pt>
                      <c:pt idx="165">
                        <c:v>44986</c:v>
                      </c:pt>
                      <c:pt idx="166">
                        <c:v>44987</c:v>
                      </c:pt>
                      <c:pt idx="167">
                        <c:v>44988</c:v>
                      </c:pt>
                      <c:pt idx="168">
                        <c:v>44991</c:v>
                      </c:pt>
                      <c:pt idx="169">
                        <c:v>44992</c:v>
                      </c:pt>
                      <c:pt idx="170">
                        <c:v>44993</c:v>
                      </c:pt>
                      <c:pt idx="171">
                        <c:v>44994</c:v>
                      </c:pt>
                      <c:pt idx="172">
                        <c:v>44995</c:v>
                      </c:pt>
                      <c:pt idx="173">
                        <c:v>44998</c:v>
                      </c:pt>
                      <c:pt idx="174">
                        <c:v>44999</c:v>
                      </c:pt>
                      <c:pt idx="175">
                        <c:v>45000</c:v>
                      </c:pt>
                      <c:pt idx="176">
                        <c:v>45001</c:v>
                      </c:pt>
                      <c:pt idx="177">
                        <c:v>45002</c:v>
                      </c:pt>
                      <c:pt idx="178">
                        <c:v>45005</c:v>
                      </c:pt>
                      <c:pt idx="179">
                        <c:v>45006</c:v>
                      </c:pt>
                      <c:pt idx="180">
                        <c:v>45007</c:v>
                      </c:pt>
                      <c:pt idx="181">
                        <c:v>45008</c:v>
                      </c:pt>
                      <c:pt idx="182">
                        <c:v>45009</c:v>
                      </c:pt>
                      <c:pt idx="183">
                        <c:v>45012</c:v>
                      </c:pt>
                      <c:pt idx="184">
                        <c:v>45013</c:v>
                      </c:pt>
                      <c:pt idx="185">
                        <c:v>45014</c:v>
                      </c:pt>
                      <c:pt idx="186">
                        <c:v>45015</c:v>
                      </c:pt>
                      <c:pt idx="187">
                        <c:v>45016</c:v>
                      </c:pt>
                      <c:pt idx="188">
                        <c:v>45019</c:v>
                      </c:pt>
                      <c:pt idx="189">
                        <c:v>45020</c:v>
                      </c:pt>
                      <c:pt idx="190">
                        <c:v>45021</c:v>
                      </c:pt>
                      <c:pt idx="191">
                        <c:v>45022</c:v>
                      </c:pt>
                      <c:pt idx="192">
                        <c:v>45023</c:v>
                      </c:pt>
                      <c:pt idx="193">
                        <c:v>45026</c:v>
                      </c:pt>
                      <c:pt idx="194">
                        <c:v>45027</c:v>
                      </c:pt>
                      <c:pt idx="195">
                        <c:v>45028</c:v>
                      </c:pt>
                      <c:pt idx="196">
                        <c:v>45029</c:v>
                      </c:pt>
                      <c:pt idx="197">
                        <c:v>45030</c:v>
                      </c:pt>
                      <c:pt idx="198">
                        <c:v>45033</c:v>
                      </c:pt>
                      <c:pt idx="199">
                        <c:v>45034</c:v>
                      </c:pt>
                      <c:pt idx="200">
                        <c:v>45035</c:v>
                      </c:pt>
                      <c:pt idx="201">
                        <c:v>45036</c:v>
                      </c:pt>
                      <c:pt idx="202">
                        <c:v>45037</c:v>
                      </c:pt>
                      <c:pt idx="203">
                        <c:v>45040</c:v>
                      </c:pt>
                      <c:pt idx="204">
                        <c:v>45041</c:v>
                      </c:pt>
                      <c:pt idx="205">
                        <c:v>45042</c:v>
                      </c:pt>
                      <c:pt idx="206">
                        <c:v>45043</c:v>
                      </c:pt>
                      <c:pt idx="207">
                        <c:v>45044</c:v>
                      </c:pt>
                      <c:pt idx="208">
                        <c:v>45047</c:v>
                      </c:pt>
                      <c:pt idx="209">
                        <c:v>45048</c:v>
                      </c:pt>
                      <c:pt idx="210">
                        <c:v>45049</c:v>
                      </c:pt>
                      <c:pt idx="211">
                        <c:v>45050</c:v>
                      </c:pt>
                      <c:pt idx="212">
                        <c:v>45051</c:v>
                      </c:pt>
                      <c:pt idx="213">
                        <c:v>45054</c:v>
                      </c:pt>
                      <c:pt idx="214">
                        <c:v>45055</c:v>
                      </c:pt>
                      <c:pt idx="215">
                        <c:v>45056</c:v>
                      </c:pt>
                      <c:pt idx="216">
                        <c:v>45057</c:v>
                      </c:pt>
                      <c:pt idx="217">
                        <c:v>45058</c:v>
                      </c:pt>
                      <c:pt idx="218">
                        <c:v>45061</c:v>
                      </c:pt>
                      <c:pt idx="219">
                        <c:v>45062</c:v>
                      </c:pt>
                      <c:pt idx="220">
                        <c:v>45063</c:v>
                      </c:pt>
                      <c:pt idx="221">
                        <c:v>45064</c:v>
                      </c:pt>
                      <c:pt idx="222">
                        <c:v>45065</c:v>
                      </c:pt>
                      <c:pt idx="223">
                        <c:v>45068</c:v>
                      </c:pt>
                      <c:pt idx="224">
                        <c:v>45069</c:v>
                      </c:pt>
                      <c:pt idx="225">
                        <c:v>45070</c:v>
                      </c:pt>
                      <c:pt idx="226">
                        <c:v>45071</c:v>
                      </c:pt>
                      <c:pt idx="227">
                        <c:v>45072</c:v>
                      </c:pt>
                      <c:pt idx="228">
                        <c:v>45075</c:v>
                      </c:pt>
                      <c:pt idx="229">
                        <c:v>45076</c:v>
                      </c:pt>
                      <c:pt idx="230">
                        <c:v>45077</c:v>
                      </c:pt>
                      <c:pt idx="231">
                        <c:v>45078</c:v>
                      </c:pt>
                      <c:pt idx="232">
                        <c:v>45079</c:v>
                      </c:pt>
                      <c:pt idx="233">
                        <c:v>45082</c:v>
                      </c:pt>
                      <c:pt idx="234">
                        <c:v>45083</c:v>
                      </c:pt>
                      <c:pt idx="235">
                        <c:v>45084</c:v>
                      </c:pt>
                      <c:pt idx="236">
                        <c:v>45085</c:v>
                      </c:pt>
                      <c:pt idx="237">
                        <c:v>45086</c:v>
                      </c:pt>
                      <c:pt idx="238">
                        <c:v>45089</c:v>
                      </c:pt>
                      <c:pt idx="239">
                        <c:v>45090</c:v>
                      </c:pt>
                      <c:pt idx="240">
                        <c:v>45091</c:v>
                      </c:pt>
                      <c:pt idx="241">
                        <c:v>45092</c:v>
                      </c:pt>
                      <c:pt idx="242">
                        <c:v>45093</c:v>
                      </c:pt>
                      <c:pt idx="243">
                        <c:v>45096</c:v>
                      </c:pt>
                      <c:pt idx="244">
                        <c:v>45097</c:v>
                      </c:pt>
                      <c:pt idx="245">
                        <c:v>45098</c:v>
                      </c:pt>
                      <c:pt idx="246">
                        <c:v>45099</c:v>
                      </c:pt>
                      <c:pt idx="247">
                        <c:v>45100</c:v>
                      </c:pt>
                      <c:pt idx="248">
                        <c:v>45103</c:v>
                      </c:pt>
                      <c:pt idx="249">
                        <c:v>45104</c:v>
                      </c:pt>
                      <c:pt idx="250">
                        <c:v>45105</c:v>
                      </c:pt>
                      <c:pt idx="251">
                        <c:v>45106</c:v>
                      </c:pt>
                      <c:pt idx="252">
                        <c:v>45107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Sheet1!$AJ$7:$AJ$259</c15:sqref>
                        </c15:formulaRef>
                      </c:ext>
                    </c:extLst>
                    <c:numCache>
                      <c:formatCode>#,##0.00</c:formatCode>
                      <c:ptCount val="253"/>
                      <c:pt idx="0">
                        <c:v>0</c:v>
                      </c:pt>
                      <c:pt idx="1">
                        <c:v>0.2</c:v>
                      </c:pt>
                      <c:pt idx="2">
                        <c:v>7.2</c:v>
                      </c:pt>
                      <c:pt idx="3">
                        <c:v>4.7</c:v>
                      </c:pt>
                      <c:pt idx="4">
                        <c:v>4.2</c:v>
                      </c:pt>
                      <c:pt idx="5">
                        <c:v>12.5</c:v>
                      </c:pt>
                      <c:pt idx="6">
                        <c:v>14.499999999999998</c:v>
                      </c:pt>
                      <c:pt idx="7">
                        <c:v>20</c:v>
                      </c:pt>
                      <c:pt idx="8">
                        <c:v>23.3</c:v>
                      </c:pt>
                      <c:pt idx="9">
                        <c:v>21.2</c:v>
                      </c:pt>
                      <c:pt idx="10">
                        <c:v>23.8</c:v>
                      </c:pt>
                      <c:pt idx="11">
                        <c:v>26.7</c:v>
                      </c:pt>
                      <c:pt idx="12">
                        <c:v>23.2</c:v>
                      </c:pt>
                      <c:pt idx="13">
                        <c:v>24.599999999999998</c:v>
                      </c:pt>
                      <c:pt idx="14">
                        <c:v>26</c:v>
                      </c:pt>
                      <c:pt idx="15">
                        <c:v>25.2</c:v>
                      </c:pt>
                      <c:pt idx="16">
                        <c:v>26.900000000000002</c:v>
                      </c:pt>
                      <c:pt idx="17">
                        <c:v>27.7</c:v>
                      </c:pt>
                      <c:pt idx="18">
                        <c:v>30.1</c:v>
                      </c:pt>
                      <c:pt idx="19">
                        <c:v>32.1</c:v>
                      </c:pt>
                      <c:pt idx="20">
                        <c:v>32.5</c:v>
                      </c:pt>
                      <c:pt idx="21">
                        <c:v>32.1</c:v>
                      </c:pt>
                      <c:pt idx="22">
                        <c:v>33.299999999999997</c:v>
                      </c:pt>
                      <c:pt idx="23">
                        <c:v>33.9</c:v>
                      </c:pt>
                      <c:pt idx="24">
                        <c:v>33.299999999999997</c:v>
                      </c:pt>
                      <c:pt idx="25">
                        <c:v>35.1</c:v>
                      </c:pt>
                      <c:pt idx="26">
                        <c:v>39.1</c:v>
                      </c:pt>
                      <c:pt idx="27">
                        <c:v>43</c:v>
                      </c:pt>
                      <c:pt idx="28">
                        <c:v>45.300000000000004</c:v>
                      </c:pt>
                      <c:pt idx="29">
                        <c:v>46.800000000000004</c:v>
                      </c:pt>
                      <c:pt idx="30">
                        <c:v>49.300000000000004</c:v>
                      </c:pt>
                      <c:pt idx="31">
                        <c:v>51.8</c:v>
                      </c:pt>
                      <c:pt idx="32">
                        <c:v>54.2</c:v>
                      </c:pt>
                      <c:pt idx="33">
                        <c:v>58.199999999999996</c:v>
                      </c:pt>
                      <c:pt idx="34">
                        <c:v>62</c:v>
                      </c:pt>
                      <c:pt idx="35">
                        <c:v>65.399999999999991</c:v>
                      </c:pt>
                      <c:pt idx="36">
                        <c:v>71.2</c:v>
                      </c:pt>
                      <c:pt idx="37">
                        <c:v>76.3</c:v>
                      </c:pt>
                      <c:pt idx="38">
                        <c:v>78.3</c:v>
                      </c:pt>
                      <c:pt idx="39">
                        <c:v>81.600000000000009</c:v>
                      </c:pt>
                      <c:pt idx="40">
                        <c:v>82.2</c:v>
                      </c:pt>
                      <c:pt idx="41">
                        <c:v>83.6</c:v>
                      </c:pt>
                      <c:pt idx="42">
                        <c:v>93.399999999999991</c:v>
                      </c:pt>
                      <c:pt idx="43">
                        <c:v>98.8</c:v>
                      </c:pt>
                      <c:pt idx="44">
                        <c:v>100</c:v>
                      </c:pt>
                      <c:pt idx="45">
                        <c:v>101.3</c:v>
                      </c:pt>
                      <c:pt idx="46">
                        <c:v>103</c:v>
                      </c:pt>
                      <c:pt idx="47">
                        <c:v>106.30000000000001</c:v>
                      </c:pt>
                      <c:pt idx="48">
                        <c:v>106.6</c:v>
                      </c:pt>
                      <c:pt idx="49">
                        <c:v>110</c:v>
                      </c:pt>
                      <c:pt idx="50">
                        <c:v>110.58303886925636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2376-4F12-B3CF-393662CCA448}"/>
                  </c:ext>
                </c:extLst>
              </c15:ser>
            </c15:filteredLineSeries>
          </c:ext>
        </c:extLst>
      </c:lineChart>
      <c:lineChart>
        <c:grouping val="stacked"/>
        <c:varyColors val="0"/>
        <c:ser>
          <c:idx val="3"/>
          <c:order val="3"/>
          <c:tx>
            <c:strRef>
              <c:f>Sheet1!$AK$6</c:f>
              <c:strCache>
                <c:ptCount val="1"/>
                <c:pt idx="0">
                  <c:v>Ημερήσια μεταβολή Eur3M (bps)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Sheet1!$AG$7:$AG$259</c:f>
              <c:numCache>
                <c:formatCode>[$-408]d\-mmm;@</c:formatCode>
                <c:ptCount val="253"/>
                <c:pt idx="0">
                  <c:v>44755</c:v>
                </c:pt>
                <c:pt idx="1">
                  <c:v>44756</c:v>
                </c:pt>
                <c:pt idx="2">
                  <c:v>44757</c:v>
                </c:pt>
                <c:pt idx="3">
                  <c:v>44760</c:v>
                </c:pt>
                <c:pt idx="4">
                  <c:v>44761</c:v>
                </c:pt>
                <c:pt idx="5">
                  <c:v>44762</c:v>
                </c:pt>
                <c:pt idx="6">
                  <c:v>44763</c:v>
                </c:pt>
                <c:pt idx="7">
                  <c:v>44764</c:v>
                </c:pt>
                <c:pt idx="8">
                  <c:v>44767</c:v>
                </c:pt>
                <c:pt idx="9">
                  <c:v>44768</c:v>
                </c:pt>
                <c:pt idx="10">
                  <c:v>44769</c:v>
                </c:pt>
                <c:pt idx="11">
                  <c:v>44770</c:v>
                </c:pt>
                <c:pt idx="12">
                  <c:v>44771</c:v>
                </c:pt>
                <c:pt idx="13">
                  <c:v>44774</c:v>
                </c:pt>
                <c:pt idx="14">
                  <c:v>44775</c:v>
                </c:pt>
                <c:pt idx="15">
                  <c:v>44776</c:v>
                </c:pt>
                <c:pt idx="16">
                  <c:v>44777</c:v>
                </c:pt>
                <c:pt idx="17">
                  <c:v>44778</c:v>
                </c:pt>
                <c:pt idx="18">
                  <c:v>44781</c:v>
                </c:pt>
                <c:pt idx="19">
                  <c:v>44782</c:v>
                </c:pt>
                <c:pt idx="20">
                  <c:v>44783</c:v>
                </c:pt>
                <c:pt idx="21">
                  <c:v>44784</c:v>
                </c:pt>
                <c:pt idx="22">
                  <c:v>44785</c:v>
                </c:pt>
                <c:pt idx="23">
                  <c:v>44788</c:v>
                </c:pt>
                <c:pt idx="24">
                  <c:v>44789</c:v>
                </c:pt>
                <c:pt idx="25">
                  <c:v>44790</c:v>
                </c:pt>
                <c:pt idx="26">
                  <c:v>44791</c:v>
                </c:pt>
                <c:pt idx="27">
                  <c:v>44792</c:v>
                </c:pt>
                <c:pt idx="28">
                  <c:v>44795</c:v>
                </c:pt>
                <c:pt idx="29">
                  <c:v>44796</c:v>
                </c:pt>
                <c:pt idx="30">
                  <c:v>44797</c:v>
                </c:pt>
                <c:pt idx="31">
                  <c:v>44798</c:v>
                </c:pt>
                <c:pt idx="32">
                  <c:v>44799</c:v>
                </c:pt>
                <c:pt idx="33">
                  <c:v>44802</c:v>
                </c:pt>
                <c:pt idx="34">
                  <c:v>44803</c:v>
                </c:pt>
                <c:pt idx="35">
                  <c:v>44804</c:v>
                </c:pt>
                <c:pt idx="36">
                  <c:v>44805</c:v>
                </c:pt>
                <c:pt idx="37">
                  <c:v>44806</c:v>
                </c:pt>
                <c:pt idx="38">
                  <c:v>44809</c:v>
                </c:pt>
                <c:pt idx="39">
                  <c:v>44810</c:v>
                </c:pt>
                <c:pt idx="40">
                  <c:v>44811</c:v>
                </c:pt>
                <c:pt idx="41">
                  <c:v>44812</c:v>
                </c:pt>
                <c:pt idx="42">
                  <c:v>44813</c:v>
                </c:pt>
                <c:pt idx="43">
                  <c:v>44816</c:v>
                </c:pt>
                <c:pt idx="44">
                  <c:v>44817</c:v>
                </c:pt>
                <c:pt idx="45">
                  <c:v>44818</c:v>
                </c:pt>
                <c:pt idx="46">
                  <c:v>44819</c:v>
                </c:pt>
                <c:pt idx="47">
                  <c:v>44820</c:v>
                </c:pt>
                <c:pt idx="48">
                  <c:v>44823</c:v>
                </c:pt>
                <c:pt idx="49">
                  <c:v>44824</c:v>
                </c:pt>
                <c:pt idx="50">
                  <c:v>44825</c:v>
                </c:pt>
                <c:pt idx="51">
                  <c:v>44826</c:v>
                </c:pt>
                <c:pt idx="52">
                  <c:v>44827</c:v>
                </c:pt>
                <c:pt idx="53">
                  <c:v>44830</c:v>
                </c:pt>
                <c:pt idx="54">
                  <c:v>44831</c:v>
                </c:pt>
                <c:pt idx="55">
                  <c:v>44832</c:v>
                </c:pt>
                <c:pt idx="56">
                  <c:v>44833</c:v>
                </c:pt>
                <c:pt idx="57">
                  <c:v>44834</c:v>
                </c:pt>
                <c:pt idx="58">
                  <c:v>44837</c:v>
                </c:pt>
                <c:pt idx="59">
                  <c:v>44838</c:v>
                </c:pt>
                <c:pt idx="60">
                  <c:v>44839</c:v>
                </c:pt>
                <c:pt idx="61">
                  <c:v>44840</c:v>
                </c:pt>
                <c:pt idx="62">
                  <c:v>44841</c:v>
                </c:pt>
                <c:pt idx="63">
                  <c:v>44844</c:v>
                </c:pt>
                <c:pt idx="64">
                  <c:v>44845</c:v>
                </c:pt>
                <c:pt idx="65">
                  <c:v>44846</c:v>
                </c:pt>
                <c:pt idx="66">
                  <c:v>44847</c:v>
                </c:pt>
                <c:pt idx="67">
                  <c:v>44848</c:v>
                </c:pt>
                <c:pt idx="68">
                  <c:v>44851</c:v>
                </c:pt>
                <c:pt idx="69">
                  <c:v>44852</c:v>
                </c:pt>
                <c:pt idx="70">
                  <c:v>44853</c:v>
                </c:pt>
                <c:pt idx="71">
                  <c:v>44854</c:v>
                </c:pt>
                <c:pt idx="72">
                  <c:v>44855</c:v>
                </c:pt>
                <c:pt idx="73">
                  <c:v>44858</c:v>
                </c:pt>
                <c:pt idx="74">
                  <c:v>44859</c:v>
                </c:pt>
                <c:pt idx="75">
                  <c:v>44860</c:v>
                </c:pt>
                <c:pt idx="76">
                  <c:v>44861</c:v>
                </c:pt>
                <c:pt idx="77">
                  <c:v>44862</c:v>
                </c:pt>
                <c:pt idx="78">
                  <c:v>44865</c:v>
                </c:pt>
                <c:pt idx="79">
                  <c:v>44866</c:v>
                </c:pt>
                <c:pt idx="80">
                  <c:v>44867</c:v>
                </c:pt>
                <c:pt idx="81">
                  <c:v>44868</c:v>
                </c:pt>
                <c:pt idx="82">
                  <c:v>44869</c:v>
                </c:pt>
                <c:pt idx="83">
                  <c:v>44872</c:v>
                </c:pt>
                <c:pt idx="84">
                  <c:v>44873</c:v>
                </c:pt>
                <c:pt idx="85">
                  <c:v>44874</c:v>
                </c:pt>
                <c:pt idx="86">
                  <c:v>44875</c:v>
                </c:pt>
                <c:pt idx="87">
                  <c:v>44876</c:v>
                </c:pt>
                <c:pt idx="88">
                  <c:v>44879</c:v>
                </c:pt>
                <c:pt idx="89">
                  <c:v>44880</c:v>
                </c:pt>
                <c:pt idx="90">
                  <c:v>44881</c:v>
                </c:pt>
                <c:pt idx="91">
                  <c:v>44882</c:v>
                </c:pt>
                <c:pt idx="92">
                  <c:v>44883</c:v>
                </c:pt>
                <c:pt idx="93">
                  <c:v>44886</c:v>
                </c:pt>
                <c:pt idx="94">
                  <c:v>44887</c:v>
                </c:pt>
                <c:pt idx="95">
                  <c:v>44888</c:v>
                </c:pt>
                <c:pt idx="96">
                  <c:v>44889</c:v>
                </c:pt>
                <c:pt idx="97">
                  <c:v>44890</c:v>
                </c:pt>
                <c:pt idx="98">
                  <c:v>44893</c:v>
                </c:pt>
                <c:pt idx="99">
                  <c:v>44894</c:v>
                </c:pt>
                <c:pt idx="100">
                  <c:v>44895</c:v>
                </c:pt>
                <c:pt idx="101">
                  <c:v>44896</c:v>
                </c:pt>
                <c:pt idx="102">
                  <c:v>44897</c:v>
                </c:pt>
                <c:pt idx="103">
                  <c:v>44900</c:v>
                </c:pt>
                <c:pt idx="104">
                  <c:v>44901</c:v>
                </c:pt>
                <c:pt idx="105">
                  <c:v>44902</c:v>
                </c:pt>
                <c:pt idx="106">
                  <c:v>44903</c:v>
                </c:pt>
                <c:pt idx="107">
                  <c:v>44904</c:v>
                </c:pt>
                <c:pt idx="108">
                  <c:v>44907</c:v>
                </c:pt>
                <c:pt idx="109">
                  <c:v>44908</c:v>
                </c:pt>
                <c:pt idx="110">
                  <c:v>44909</c:v>
                </c:pt>
                <c:pt idx="111">
                  <c:v>44910</c:v>
                </c:pt>
                <c:pt idx="112">
                  <c:v>44911</c:v>
                </c:pt>
                <c:pt idx="113">
                  <c:v>44914</c:v>
                </c:pt>
                <c:pt idx="114">
                  <c:v>44915</c:v>
                </c:pt>
                <c:pt idx="115">
                  <c:v>44916</c:v>
                </c:pt>
                <c:pt idx="116">
                  <c:v>44917</c:v>
                </c:pt>
                <c:pt idx="117">
                  <c:v>44918</c:v>
                </c:pt>
                <c:pt idx="118">
                  <c:v>44921</c:v>
                </c:pt>
                <c:pt idx="119">
                  <c:v>44922</c:v>
                </c:pt>
                <c:pt idx="120">
                  <c:v>44923</c:v>
                </c:pt>
                <c:pt idx="121">
                  <c:v>44924</c:v>
                </c:pt>
                <c:pt idx="122">
                  <c:v>44925</c:v>
                </c:pt>
                <c:pt idx="123">
                  <c:v>44928</c:v>
                </c:pt>
                <c:pt idx="124">
                  <c:v>44929</c:v>
                </c:pt>
                <c:pt idx="125">
                  <c:v>44930</c:v>
                </c:pt>
                <c:pt idx="126">
                  <c:v>44931</c:v>
                </c:pt>
                <c:pt idx="127">
                  <c:v>44932</c:v>
                </c:pt>
                <c:pt idx="128">
                  <c:v>44935</c:v>
                </c:pt>
                <c:pt idx="129">
                  <c:v>44936</c:v>
                </c:pt>
                <c:pt idx="130">
                  <c:v>44937</c:v>
                </c:pt>
                <c:pt idx="131">
                  <c:v>44938</c:v>
                </c:pt>
                <c:pt idx="132">
                  <c:v>44939</c:v>
                </c:pt>
                <c:pt idx="133">
                  <c:v>44942</c:v>
                </c:pt>
                <c:pt idx="134">
                  <c:v>44943</c:v>
                </c:pt>
                <c:pt idx="135">
                  <c:v>44944</c:v>
                </c:pt>
                <c:pt idx="136">
                  <c:v>44945</c:v>
                </c:pt>
                <c:pt idx="137">
                  <c:v>44946</c:v>
                </c:pt>
                <c:pt idx="138">
                  <c:v>44949</c:v>
                </c:pt>
                <c:pt idx="139">
                  <c:v>44950</c:v>
                </c:pt>
                <c:pt idx="140">
                  <c:v>44951</c:v>
                </c:pt>
                <c:pt idx="141">
                  <c:v>44952</c:v>
                </c:pt>
                <c:pt idx="142">
                  <c:v>44953</c:v>
                </c:pt>
                <c:pt idx="143">
                  <c:v>44956</c:v>
                </c:pt>
                <c:pt idx="144">
                  <c:v>44957</c:v>
                </c:pt>
                <c:pt idx="145">
                  <c:v>44958</c:v>
                </c:pt>
                <c:pt idx="146">
                  <c:v>44959</c:v>
                </c:pt>
                <c:pt idx="147">
                  <c:v>44960</c:v>
                </c:pt>
                <c:pt idx="148">
                  <c:v>44963</c:v>
                </c:pt>
                <c:pt idx="149">
                  <c:v>44964</c:v>
                </c:pt>
                <c:pt idx="150">
                  <c:v>44965</c:v>
                </c:pt>
                <c:pt idx="151">
                  <c:v>44966</c:v>
                </c:pt>
                <c:pt idx="152">
                  <c:v>44967</c:v>
                </c:pt>
                <c:pt idx="153">
                  <c:v>44970</c:v>
                </c:pt>
                <c:pt idx="154">
                  <c:v>44971</c:v>
                </c:pt>
                <c:pt idx="155">
                  <c:v>44972</c:v>
                </c:pt>
                <c:pt idx="156">
                  <c:v>44973</c:v>
                </c:pt>
                <c:pt idx="157">
                  <c:v>44974</c:v>
                </c:pt>
                <c:pt idx="158">
                  <c:v>44977</c:v>
                </c:pt>
                <c:pt idx="159">
                  <c:v>44978</c:v>
                </c:pt>
                <c:pt idx="160">
                  <c:v>44979</c:v>
                </c:pt>
                <c:pt idx="161">
                  <c:v>44980</c:v>
                </c:pt>
                <c:pt idx="162">
                  <c:v>44981</c:v>
                </c:pt>
                <c:pt idx="163">
                  <c:v>44984</c:v>
                </c:pt>
                <c:pt idx="164">
                  <c:v>44985</c:v>
                </c:pt>
                <c:pt idx="165">
                  <c:v>44986</c:v>
                </c:pt>
                <c:pt idx="166">
                  <c:v>44987</c:v>
                </c:pt>
                <c:pt idx="167">
                  <c:v>44988</c:v>
                </c:pt>
                <c:pt idx="168">
                  <c:v>44991</c:v>
                </c:pt>
                <c:pt idx="169">
                  <c:v>44992</c:v>
                </c:pt>
                <c:pt idx="170">
                  <c:v>44993</c:v>
                </c:pt>
                <c:pt idx="171">
                  <c:v>44994</c:v>
                </c:pt>
                <c:pt idx="172">
                  <c:v>44995</c:v>
                </c:pt>
                <c:pt idx="173">
                  <c:v>44998</c:v>
                </c:pt>
                <c:pt idx="174">
                  <c:v>44999</c:v>
                </c:pt>
                <c:pt idx="175">
                  <c:v>45000</c:v>
                </c:pt>
                <c:pt idx="176">
                  <c:v>45001</c:v>
                </c:pt>
                <c:pt idx="177">
                  <c:v>45002</c:v>
                </c:pt>
                <c:pt idx="178">
                  <c:v>45005</c:v>
                </c:pt>
                <c:pt idx="179">
                  <c:v>45006</c:v>
                </c:pt>
                <c:pt idx="180">
                  <c:v>45007</c:v>
                </c:pt>
                <c:pt idx="181">
                  <c:v>45008</c:v>
                </c:pt>
                <c:pt idx="182">
                  <c:v>45009</c:v>
                </c:pt>
                <c:pt idx="183">
                  <c:v>45012</c:v>
                </c:pt>
                <c:pt idx="184">
                  <c:v>45013</c:v>
                </c:pt>
                <c:pt idx="185">
                  <c:v>45014</c:v>
                </c:pt>
                <c:pt idx="186">
                  <c:v>45015</c:v>
                </c:pt>
                <c:pt idx="187">
                  <c:v>45016</c:v>
                </c:pt>
                <c:pt idx="188">
                  <c:v>45019</c:v>
                </c:pt>
                <c:pt idx="189">
                  <c:v>45020</c:v>
                </c:pt>
                <c:pt idx="190">
                  <c:v>45021</c:v>
                </c:pt>
                <c:pt idx="191">
                  <c:v>45022</c:v>
                </c:pt>
                <c:pt idx="192">
                  <c:v>45023</c:v>
                </c:pt>
                <c:pt idx="193">
                  <c:v>45026</c:v>
                </c:pt>
                <c:pt idx="194">
                  <c:v>45027</c:v>
                </c:pt>
                <c:pt idx="195">
                  <c:v>45028</c:v>
                </c:pt>
                <c:pt idx="196">
                  <c:v>45029</c:v>
                </c:pt>
                <c:pt idx="197">
                  <c:v>45030</c:v>
                </c:pt>
                <c:pt idx="198">
                  <c:v>45033</c:v>
                </c:pt>
                <c:pt idx="199">
                  <c:v>45034</c:v>
                </c:pt>
                <c:pt idx="200">
                  <c:v>45035</c:v>
                </c:pt>
                <c:pt idx="201">
                  <c:v>45036</c:v>
                </c:pt>
                <c:pt idx="202">
                  <c:v>45037</c:v>
                </c:pt>
                <c:pt idx="203">
                  <c:v>45040</c:v>
                </c:pt>
                <c:pt idx="204">
                  <c:v>45041</c:v>
                </c:pt>
                <c:pt idx="205">
                  <c:v>45042</c:v>
                </c:pt>
                <c:pt idx="206">
                  <c:v>45043</c:v>
                </c:pt>
                <c:pt idx="207">
                  <c:v>45044</c:v>
                </c:pt>
                <c:pt idx="208">
                  <c:v>45047</c:v>
                </c:pt>
                <c:pt idx="209">
                  <c:v>45048</c:v>
                </c:pt>
                <c:pt idx="210">
                  <c:v>45049</c:v>
                </c:pt>
                <c:pt idx="211">
                  <c:v>45050</c:v>
                </c:pt>
                <c:pt idx="212">
                  <c:v>45051</c:v>
                </c:pt>
                <c:pt idx="213">
                  <c:v>45054</c:v>
                </c:pt>
                <c:pt idx="214">
                  <c:v>45055</c:v>
                </c:pt>
                <c:pt idx="215">
                  <c:v>45056</c:v>
                </c:pt>
                <c:pt idx="216">
                  <c:v>45057</c:v>
                </c:pt>
                <c:pt idx="217">
                  <c:v>45058</c:v>
                </c:pt>
                <c:pt idx="218">
                  <c:v>45061</c:v>
                </c:pt>
                <c:pt idx="219">
                  <c:v>45062</c:v>
                </c:pt>
                <c:pt idx="220">
                  <c:v>45063</c:v>
                </c:pt>
                <c:pt idx="221">
                  <c:v>45064</c:v>
                </c:pt>
                <c:pt idx="222">
                  <c:v>45065</c:v>
                </c:pt>
                <c:pt idx="223">
                  <c:v>45068</c:v>
                </c:pt>
                <c:pt idx="224">
                  <c:v>45069</c:v>
                </c:pt>
                <c:pt idx="225">
                  <c:v>45070</c:v>
                </c:pt>
                <c:pt idx="226">
                  <c:v>45071</c:v>
                </c:pt>
                <c:pt idx="227">
                  <c:v>45072</c:v>
                </c:pt>
                <c:pt idx="228">
                  <c:v>45075</c:v>
                </c:pt>
                <c:pt idx="229">
                  <c:v>45076</c:v>
                </c:pt>
                <c:pt idx="230">
                  <c:v>45077</c:v>
                </c:pt>
                <c:pt idx="231">
                  <c:v>45078</c:v>
                </c:pt>
                <c:pt idx="232">
                  <c:v>45079</c:v>
                </c:pt>
                <c:pt idx="233">
                  <c:v>45082</c:v>
                </c:pt>
                <c:pt idx="234">
                  <c:v>45083</c:v>
                </c:pt>
                <c:pt idx="235">
                  <c:v>45084</c:v>
                </c:pt>
                <c:pt idx="236">
                  <c:v>45085</c:v>
                </c:pt>
                <c:pt idx="237">
                  <c:v>45086</c:v>
                </c:pt>
                <c:pt idx="238">
                  <c:v>45089</c:v>
                </c:pt>
                <c:pt idx="239">
                  <c:v>45090</c:v>
                </c:pt>
                <c:pt idx="240">
                  <c:v>45091</c:v>
                </c:pt>
                <c:pt idx="241">
                  <c:v>45092</c:v>
                </c:pt>
                <c:pt idx="242">
                  <c:v>45093</c:v>
                </c:pt>
                <c:pt idx="243">
                  <c:v>45096</c:v>
                </c:pt>
                <c:pt idx="244">
                  <c:v>45097</c:v>
                </c:pt>
                <c:pt idx="245">
                  <c:v>45098</c:v>
                </c:pt>
                <c:pt idx="246">
                  <c:v>45099</c:v>
                </c:pt>
                <c:pt idx="247">
                  <c:v>45100</c:v>
                </c:pt>
                <c:pt idx="248">
                  <c:v>45103</c:v>
                </c:pt>
                <c:pt idx="249">
                  <c:v>45104</c:v>
                </c:pt>
                <c:pt idx="250">
                  <c:v>45105</c:v>
                </c:pt>
                <c:pt idx="251">
                  <c:v>45106</c:v>
                </c:pt>
                <c:pt idx="252">
                  <c:v>45107</c:v>
                </c:pt>
              </c:numCache>
            </c:numRef>
          </c:cat>
          <c:val>
            <c:numRef>
              <c:f>Sheet1!$AK$7:$AK$259</c:f>
              <c:numCache>
                <c:formatCode>#,##0.00</c:formatCode>
                <c:ptCount val="253"/>
                <c:pt idx="0">
                  <c:v>0</c:v>
                </c:pt>
                <c:pt idx="1">
                  <c:v>0.2</c:v>
                </c:pt>
                <c:pt idx="2">
                  <c:v>7</c:v>
                </c:pt>
                <c:pt idx="3">
                  <c:v>-2.5</c:v>
                </c:pt>
                <c:pt idx="4">
                  <c:v>-0.5</c:v>
                </c:pt>
                <c:pt idx="5">
                  <c:v>8.3000000000000007</c:v>
                </c:pt>
                <c:pt idx="6">
                  <c:v>1.9999999999999982</c:v>
                </c:pt>
                <c:pt idx="7">
                  <c:v>5.5000000000000018</c:v>
                </c:pt>
                <c:pt idx="8">
                  <c:v>3.3000000000000007</c:v>
                </c:pt>
                <c:pt idx="9">
                  <c:v>-2.1000000000000014</c:v>
                </c:pt>
                <c:pt idx="10">
                  <c:v>2.6000000000000014</c:v>
                </c:pt>
                <c:pt idx="11">
                  <c:v>2.8999999999999986</c:v>
                </c:pt>
                <c:pt idx="12">
                  <c:v>-3.5</c:v>
                </c:pt>
                <c:pt idx="13">
                  <c:v>1.3999999999999986</c:v>
                </c:pt>
                <c:pt idx="14">
                  <c:v>1.4000000000000021</c:v>
                </c:pt>
                <c:pt idx="15">
                  <c:v>-0.80000000000000071</c:v>
                </c:pt>
                <c:pt idx="16">
                  <c:v>1.7000000000000028</c:v>
                </c:pt>
                <c:pt idx="17">
                  <c:v>0.79999999999999716</c:v>
                </c:pt>
                <c:pt idx="18">
                  <c:v>2.4000000000000021</c:v>
                </c:pt>
                <c:pt idx="19">
                  <c:v>2</c:v>
                </c:pt>
                <c:pt idx="20">
                  <c:v>0.39999999999999858</c:v>
                </c:pt>
                <c:pt idx="21">
                  <c:v>-0.39999999999999858</c:v>
                </c:pt>
                <c:pt idx="22">
                  <c:v>1.1999999999999957</c:v>
                </c:pt>
                <c:pt idx="23">
                  <c:v>0.60000000000000142</c:v>
                </c:pt>
                <c:pt idx="24">
                  <c:v>-0.60000000000000142</c:v>
                </c:pt>
                <c:pt idx="25">
                  <c:v>1.8000000000000043</c:v>
                </c:pt>
                <c:pt idx="26">
                  <c:v>4</c:v>
                </c:pt>
                <c:pt idx="27">
                  <c:v>3.8999999999999986</c:v>
                </c:pt>
                <c:pt idx="28">
                  <c:v>2.3000000000000043</c:v>
                </c:pt>
                <c:pt idx="29">
                  <c:v>1.5</c:v>
                </c:pt>
                <c:pt idx="30">
                  <c:v>2.5</c:v>
                </c:pt>
                <c:pt idx="31">
                  <c:v>2.4999999999999929</c:v>
                </c:pt>
                <c:pt idx="32">
                  <c:v>2.4000000000000057</c:v>
                </c:pt>
                <c:pt idx="33">
                  <c:v>3.9999999999999929</c:v>
                </c:pt>
                <c:pt idx="34">
                  <c:v>3.8000000000000043</c:v>
                </c:pt>
                <c:pt idx="35">
                  <c:v>3.3999999999999915</c:v>
                </c:pt>
                <c:pt idx="36">
                  <c:v>5.8000000000000114</c:v>
                </c:pt>
                <c:pt idx="37">
                  <c:v>5.0999999999999943</c:v>
                </c:pt>
                <c:pt idx="38">
                  <c:v>2</c:v>
                </c:pt>
                <c:pt idx="39">
                  <c:v>3.3000000000000114</c:v>
                </c:pt>
                <c:pt idx="40">
                  <c:v>0.59999999999999432</c:v>
                </c:pt>
                <c:pt idx="41">
                  <c:v>1.3999999999999915</c:v>
                </c:pt>
                <c:pt idx="42">
                  <c:v>9.7999999999999972</c:v>
                </c:pt>
                <c:pt idx="43">
                  <c:v>5.4000000000000057</c:v>
                </c:pt>
                <c:pt idx="44">
                  <c:v>1.2000000000000028</c:v>
                </c:pt>
                <c:pt idx="45">
                  <c:v>1.2999999999999972</c:v>
                </c:pt>
                <c:pt idx="46">
                  <c:v>1.7000000000000028</c:v>
                </c:pt>
                <c:pt idx="47">
                  <c:v>3.3000000000000114</c:v>
                </c:pt>
                <c:pt idx="48">
                  <c:v>0.29999999999998295</c:v>
                </c:pt>
                <c:pt idx="49">
                  <c:v>3.4000000000000057</c:v>
                </c:pt>
                <c:pt idx="50">
                  <c:v>0.58303886925635595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76-4F12-B3CF-393662CCA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72320"/>
        <c:axId val="213071760"/>
      </c:lineChart>
      <c:dateAx>
        <c:axId val="213070640"/>
        <c:scaling>
          <c:orientation val="minMax"/>
        </c:scaling>
        <c:delete val="1"/>
        <c:axPos val="b"/>
        <c:numFmt formatCode="[$-408]d\-mmm;@" sourceLinked="1"/>
        <c:majorTickMark val="out"/>
        <c:minorTickMark val="none"/>
        <c:tickLblPos val="nextTo"/>
        <c:crossAx val="213071200"/>
        <c:crosses val="autoZero"/>
        <c:auto val="1"/>
        <c:lblOffset val="100"/>
        <c:baseTimeUnit val="days"/>
      </c:dateAx>
      <c:valAx>
        <c:axId val="21307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3070640"/>
        <c:crosses val="autoZero"/>
        <c:crossBetween val="between"/>
      </c:valAx>
      <c:valAx>
        <c:axId val="21307176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3072320"/>
        <c:crosses val="max"/>
        <c:crossBetween val="between"/>
      </c:valAx>
      <c:dateAx>
        <c:axId val="213072320"/>
        <c:scaling>
          <c:orientation val="minMax"/>
        </c:scaling>
        <c:delete val="1"/>
        <c:axPos val="b"/>
        <c:numFmt formatCode="[$-408]d\-mmm;@" sourceLinked="1"/>
        <c:majorTickMark val="out"/>
        <c:minorTickMark val="none"/>
        <c:tickLblPos val="nextTo"/>
        <c:crossAx val="2130717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70017</xdr:colOff>
      <xdr:row>0</xdr:row>
      <xdr:rowOff>76200</xdr:rowOff>
    </xdr:from>
    <xdr:ext cx="7183272" cy="35606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A48BC7C5-C185-A137-62BE-AAC87590CEDB}"/>
            </a:ext>
          </a:extLst>
        </xdr:cNvPr>
        <xdr:cNvSpPr/>
      </xdr:nvSpPr>
      <xdr:spPr>
        <a:xfrm>
          <a:off x="484355" y="247650"/>
          <a:ext cx="7183272" cy="3560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l-GR" sz="17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 Nova" panose="020B0504020202020204" pitchFamily="34" charset="0"/>
            </a:rPr>
            <a:t>Υπολογίστε</a:t>
          </a:r>
          <a:r>
            <a:rPr lang="el-GR" sz="17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 Nova" panose="020B0504020202020204" pitchFamily="34" charset="0"/>
            </a:rPr>
            <a:t> την επίδραση στο δάνειό σας από τις αυξήσεις των επιτοκίων</a:t>
          </a:r>
        </a:p>
      </xdr:txBody>
    </xdr:sp>
    <xdr:clientData/>
  </xdr:oneCellAnchor>
  <xdr:twoCellAnchor>
    <xdr:from>
      <xdr:col>7</xdr:col>
      <xdr:colOff>14286</xdr:colOff>
      <xdr:row>0</xdr:row>
      <xdr:rowOff>104776</xdr:rowOff>
    </xdr:from>
    <xdr:to>
      <xdr:col>14</xdr:col>
      <xdr:colOff>57154</xdr:colOff>
      <xdr:row>28</xdr:row>
      <xdr:rowOff>90489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17C0791B-C2EA-EAD2-B5A3-D262DF298BE2}"/>
            </a:ext>
          </a:extLst>
        </xdr:cNvPr>
        <xdr:cNvGrpSpPr/>
      </xdr:nvGrpSpPr>
      <xdr:grpSpPr>
        <a:xfrm>
          <a:off x="7281861" y="95251"/>
          <a:ext cx="4243393" cy="4948238"/>
          <a:chOff x="7915274" y="171451"/>
          <a:chExt cx="4576768" cy="486251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3BB43385-0E9F-433E-AFDC-8BB8A4578186}"/>
              </a:ext>
            </a:extLst>
          </xdr:cNvPr>
          <xdr:cNvGraphicFramePr>
            <a:graphicFrameLocks/>
          </xdr:cNvGraphicFramePr>
        </xdr:nvGraphicFramePr>
        <xdr:xfrm>
          <a:off x="7915274" y="171451"/>
          <a:ext cx="4572000" cy="23574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xmlns="" id="{39496AAB-1849-412B-916B-63134FF3CD3D}"/>
              </a:ext>
            </a:extLst>
          </xdr:cNvPr>
          <xdr:cNvGraphicFramePr>
            <a:graphicFrameLocks/>
          </xdr:cNvGraphicFramePr>
        </xdr:nvGraphicFramePr>
        <xdr:xfrm>
          <a:off x="7920041" y="2552702"/>
          <a:ext cx="4572001" cy="24812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oneCellAnchor>
    <xdr:from>
      <xdr:col>4</xdr:col>
      <xdr:colOff>4229604</xdr:colOff>
      <xdr:row>9</xdr:row>
      <xdr:rowOff>0</xdr:rowOff>
    </xdr:from>
    <xdr:ext cx="184730" cy="93762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E007E0AF-2363-9794-E249-3C80E67E03C8}"/>
            </a:ext>
          </a:extLst>
        </xdr:cNvPr>
        <xdr:cNvSpPr/>
      </xdr:nvSpPr>
      <xdr:spPr>
        <a:xfrm>
          <a:off x="6201279" y="240931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</xdr:col>
      <xdr:colOff>4667251</xdr:colOff>
      <xdr:row>25</xdr:row>
      <xdr:rowOff>161920</xdr:rowOff>
    </xdr:from>
    <xdr:to>
      <xdr:col>4</xdr:col>
      <xdr:colOff>4791078</xdr:colOff>
      <xdr:row>27</xdr:row>
      <xdr:rowOff>28570</xdr:rowOff>
    </xdr:to>
    <xdr:sp macro="" textlink="">
      <xdr:nvSpPr>
        <xdr:cNvPr id="15" name="Arrow: Right 14">
          <a:extLst>
            <a:ext uri="{FF2B5EF4-FFF2-40B4-BE49-F238E27FC236}">
              <a16:creationId xmlns:a16="http://schemas.microsoft.com/office/drawing/2014/main" xmlns="" id="{7E921CFB-5819-FC19-975B-0EC63B9ED278}"/>
            </a:ext>
          </a:extLst>
        </xdr:cNvPr>
        <xdr:cNvSpPr/>
      </xdr:nvSpPr>
      <xdr:spPr>
        <a:xfrm>
          <a:off x="6515101" y="4395783"/>
          <a:ext cx="123827" cy="219075"/>
        </a:xfrm>
        <a:prstGeom prst="right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33337</xdr:colOff>
      <xdr:row>68</xdr:row>
      <xdr:rowOff>138113</xdr:rowOff>
    </xdr:from>
    <xdr:to>
      <xdr:col>30</xdr:col>
      <xdr:colOff>466725</xdr:colOff>
      <xdr:row>90</xdr:row>
      <xdr:rowOff>138113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6DC2437-8467-4E0C-BC1E-CEAFBA2E4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ribor-rates.eu/en/current-euribor-rates/2/euribor-rate-3-month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ribor-rates.eu/en/euribor-charts/" TargetMode="External"/><Relationship Id="rId2" Type="http://schemas.openxmlformats.org/officeDocument/2006/relationships/hyperlink" Target="https://www.ecb.europa.eu/home/html/index.en.html" TargetMode="External"/><Relationship Id="rId1" Type="http://schemas.openxmlformats.org/officeDocument/2006/relationships/hyperlink" Target="https://www.emmi-benchmarks.eu/benchmarks/euribor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ankofgreece.gr/statistika/xrhmatopistwtikes-agores/epitokia-anaforas-ek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29"/>
  <sheetViews>
    <sheetView tabSelected="1" zoomScaleNormal="100" workbookViewId="0">
      <selection activeCell="F27" sqref="F27"/>
    </sheetView>
  </sheetViews>
  <sheetFormatPr defaultColWidth="9" defaultRowHeight="14.25"/>
  <cols>
    <col min="1" max="1" width="3.7109375" style="92" customWidth="1"/>
    <col min="2" max="2" width="9.42578125" style="92" bestFit="1" customWidth="1"/>
    <col min="3" max="3" width="9" style="92"/>
    <col min="4" max="4" width="3.5703125" style="92" customWidth="1"/>
    <col min="5" max="5" width="68" style="92" bestFit="1" customWidth="1"/>
    <col min="6" max="6" width="13" style="92" bestFit="1" customWidth="1"/>
    <col min="7" max="7" width="2.28515625" style="92" customWidth="1"/>
    <col min="8" max="16384" width="9" style="92"/>
  </cols>
  <sheetData>
    <row r="1" spans="2:7" ht="7.9" customHeight="1"/>
    <row r="4" spans="2:7" ht="13.9" customHeight="1">
      <c r="B4" s="137" t="s">
        <v>123</v>
      </c>
      <c r="C4" s="137"/>
      <c r="D4" s="78"/>
      <c r="E4" s="93" t="s">
        <v>143</v>
      </c>
      <c r="F4" s="94" t="s">
        <v>129</v>
      </c>
      <c r="G4" s="95"/>
    </row>
    <row r="5" spans="2:7" ht="15">
      <c r="B5" s="138"/>
      <c r="C5" s="138"/>
      <c r="D5" s="78"/>
      <c r="E5" s="96" t="s">
        <v>121</v>
      </c>
      <c r="F5" s="97">
        <v>100000</v>
      </c>
      <c r="G5" s="98"/>
    </row>
    <row r="6" spans="2:7" ht="15">
      <c r="B6" s="138"/>
      <c r="C6" s="138"/>
      <c r="D6" s="78"/>
      <c r="E6" s="96" t="s">
        <v>117</v>
      </c>
      <c r="F6" s="99">
        <v>25</v>
      </c>
    </row>
    <row r="7" spans="2:7" ht="15">
      <c r="B7" s="138"/>
      <c r="C7" s="138"/>
      <c r="D7" s="78"/>
      <c r="E7" s="96" t="s">
        <v>118</v>
      </c>
      <c r="F7" s="100">
        <v>0.02</v>
      </c>
      <c r="G7" s="101"/>
    </row>
    <row r="8" spans="2:7" ht="15">
      <c r="B8" s="138"/>
      <c r="C8" s="138"/>
      <c r="D8" s="78"/>
      <c r="E8" s="102" t="s">
        <v>122</v>
      </c>
      <c r="F8" s="103">
        <v>1500</v>
      </c>
      <c r="G8" s="104"/>
    </row>
    <row r="9" spans="2:7">
      <c r="F9" s="101"/>
      <c r="G9" s="101"/>
    </row>
    <row r="10" spans="2:7" ht="13.9" customHeight="1">
      <c r="B10" s="136" t="s">
        <v>126</v>
      </c>
      <c r="C10" s="136"/>
      <c r="D10" s="79"/>
      <c r="E10" s="105" t="s">
        <v>125</v>
      </c>
      <c r="F10" s="106">
        <f>F7+Sheet1!AH2</f>
        <v>2.12E-2</v>
      </c>
      <c r="G10" s="107"/>
    </row>
    <row r="11" spans="2:7" ht="15">
      <c r="B11" s="136"/>
      <c r="C11" s="136"/>
      <c r="D11" s="79"/>
      <c r="E11" s="108" t="s">
        <v>124</v>
      </c>
      <c r="F11" s="109">
        <f>Sheet1!AO2</f>
        <v>430</v>
      </c>
      <c r="G11" s="110"/>
    </row>
    <row r="12" spans="2:7" ht="15">
      <c r="B12" s="136"/>
      <c r="C12" s="136"/>
      <c r="D12" s="79"/>
      <c r="E12" s="111" t="s">
        <v>127</v>
      </c>
      <c r="F12" s="112">
        <f>F11/F8</f>
        <v>0.28666666666666668</v>
      </c>
      <c r="G12" s="113"/>
    </row>
    <row r="14" spans="2:7" ht="13.9" customHeight="1">
      <c r="B14" s="139" t="s">
        <v>138</v>
      </c>
      <c r="C14" s="140"/>
      <c r="D14" s="79"/>
      <c r="E14" s="114" t="s">
        <v>119</v>
      </c>
      <c r="F14" s="115">
        <v>45107</v>
      </c>
      <c r="G14" s="116"/>
    </row>
    <row r="15" spans="2:7" ht="15">
      <c r="B15" s="141"/>
      <c r="C15" s="142"/>
      <c r="D15" s="79"/>
      <c r="E15" s="117" t="s">
        <v>144</v>
      </c>
      <c r="F15" s="118">
        <v>2.7499999999999997E-2</v>
      </c>
      <c r="G15" s="101"/>
    </row>
    <row r="16" spans="2:7" ht="15">
      <c r="B16" s="79"/>
      <c r="C16" s="79"/>
      <c r="D16" s="79"/>
      <c r="F16" s="101"/>
      <c r="G16" s="101"/>
    </row>
    <row r="17" spans="2:7" ht="15">
      <c r="B17" s="143" t="s">
        <v>139</v>
      </c>
      <c r="C17" s="144"/>
      <c r="D17" s="79"/>
      <c r="E17" s="119" t="s">
        <v>132</v>
      </c>
      <c r="F17" s="120">
        <f>F15+F7+Sheet1!AH2</f>
        <v>4.87E-2</v>
      </c>
      <c r="G17" s="107"/>
    </row>
    <row r="18" spans="2:7" ht="15">
      <c r="B18" s="145"/>
      <c r="C18" s="146"/>
      <c r="D18" s="79"/>
      <c r="E18" s="121" t="s">
        <v>131</v>
      </c>
      <c r="F18" s="122">
        <f ca="1">Sheet1!AC8</f>
        <v>98336.261655423179</v>
      </c>
      <c r="G18" s="98"/>
    </row>
    <row r="19" spans="2:7" ht="15">
      <c r="B19" s="145"/>
      <c r="C19" s="146"/>
      <c r="D19" s="79"/>
      <c r="E19" s="121" t="s">
        <v>133</v>
      </c>
      <c r="F19" s="122">
        <f ca="1">Sheet1!AO4</f>
        <v>580</v>
      </c>
      <c r="G19" s="98"/>
    </row>
    <row r="20" spans="2:7" ht="15">
      <c r="B20" s="145"/>
      <c r="C20" s="146"/>
      <c r="D20" s="79"/>
      <c r="E20" s="121" t="s">
        <v>134</v>
      </c>
      <c r="F20" s="122">
        <f ca="1">Sheet1!AO3</f>
        <v>150</v>
      </c>
      <c r="G20" s="98"/>
    </row>
    <row r="21" spans="2:7" ht="15">
      <c r="B21" s="145"/>
      <c r="C21" s="146"/>
      <c r="D21" s="79"/>
      <c r="E21" s="123" t="s">
        <v>120</v>
      </c>
      <c r="F21" s="124">
        <f ca="1">F20/F11</f>
        <v>0.34883720930232559</v>
      </c>
      <c r="G21" s="113"/>
    </row>
    <row r="22" spans="2:7" ht="15">
      <c r="B22" s="147"/>
      <c r="C22" s="148"/>
      <c r="D22" s="79"/>
      <c r="E22" s="125" t="s">
        <v>140</v>
      </c>
      <c r="F22" s="126">
        <f ca="1">F19/F8</f>
        <v>0.38666666666666666</v>
      </c>
      <c r="G22" s="113"/>
    </row>
    <row r="23" spans="2:7" ht="6.4" customHeight="1"/>
    <row r="24" spans="2:7">
      <c r="B24" s="135">
        <f ca="1">TODAY()</f>
        <v>44825</v>
      </c>
      <c r="C24" s="135"/>
      <c r="D24" s="127"/>
      <c r="E24" s="128" t="s">
        <v>148</v>
      </c>
      <c r="F24" s="129" t="str">
        <f ca="1">CONCATENATE(ROUND(Sheet1!AH4,1)," bps")</f>
        <v>2,2 bps</v>
      </c>
      <c r="G24" s="127"/>
    </row>
    <row r="25" spans="2:7">
      <c r="B25" s="127"/>
      <c r="C25" s="127"/>
      <c r="D25" s="127"/>
      <c r="E25" s="128" t="s">
        <v>149</v>
      </c>
      <c r="F25" s="129" t="str">
        <f ca="1">CONCATENATE(ROUND(Sheet1!AH5,1)," bps")</f>
        <v>1,5 bps</v>
      </c>
      <c r="G25" s="127"/>
    </row>
    <row r="26" spans="2:7">
      <c r="B26" s="127"/>
      <c r="C26" s="127"/>
      <c r="D26" s="127"/>
      <c r="E26" s="130" t="s">
        <v>152</v>
      </c>
      <c r="F26" s="133">
        <f ca="1">IF(WEEKDAY(TODAY())=1,TODAY()-2,IF(WEEKDAY(TODAY())=1,TODAY()-3,TODAY()-1))</f>
        <v>44824</v>
      </c>
      <c r="G26" s="127"/>
    </row>
    <row r="27" spans="2:7">
      <c r="E27" s="131" t="s">
        <v>153</v>
      </c>
      <c r="F27" s="132">
        <v>1.0999999999999999E-2</v>
      </c>
    </row>
    <row r="28" spans="2:7" ht="12" customHeight="1">
      <c r="B28" s="134" t="s">
        <v>135</v>
      </c>
      <c r="C28" s="134"/>
      <c r="D28" s="134"/>
      <c r="E28" s="134"/>
      <c r="F28" s="134"/>
    </row>
    <row r="29" spans="2:7" ht="7.5" customHeight="1">
      <c r="B29" s="134" t="s">
        <v>142</v>
      </c>
      <c r="C29" s="134"/>
      <c r="D29" s="134"/>
      <c r="E29" s="134"/>
      <c r="F29" s="134"/>
    </row>
  </sheetData>
  <mergeCells count="7">
    <mergeCell ref="B28:F28"/>
    <mergeCell ref="B29:F29"/>
    <mergeCell ref="B24:C24"/>
    <mergeCell ref="B10:C12"/>
    <mergeCell ref="B4:C8"/>
    <mergeCell ref="B14:C15"/>
    <mergeCell ref="B17:C22"/>
  </mergeCells>
  <phoneticPr fontId="3" type="noConversion"/>
  <hyperlinks>
    <hyperlink ref="E26" r:id="rId1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Sheet1!$AA$22:$AA$32</xm:f>
          </x14:formula1>
          <xm:sqref>F15:G16</xm:sqref>
        </x14:dataValidation>
        <x14:dataValidation type="list" allowBlank="1" showInputMessage="1" showErrorMessage="1">
          <x14:formula1>
            <xm:f>Sheet1!$AC$22:$AC$30</xm:f>
          </x14:formula1>
          <xm:sqref>F14:G14</xm:sqref>
        </x14:dataValidation>
        <x14:dataValidation type="list" allowBlank="1" showInputMessage="1" showErrorMessage="1">
          <x14:formula1>
            <xm:f>Sheet1!$AB$2:$AB$3</xm:f>
          </x14:formula1>
          <xm:sqref>F4:G4</xm:sqref>
        </x14:dataValidation>
        <x14:dataValidation type="list" allowBlank="1" showInputMessage="1" showErrorMessage="1">
          <x14:formula1>
            <xm:f>Sheet1!$BD$7:$BD$39</xm:f>
          </x14:formula1>
          <xm:sqref>F6</xm:sqref>
        </x14:dataValidation>
        <x14:dataValidation type="list" allowBlank="1" showInputMessage="1" showErrorMessage="1">
          <x14:formula1>
            <xm:f>Sheet1!$BE$7:$BE$60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P307"/>
  <sheetViews>
    <sheetView topLeftCell="W40" workbookViewId="0">
      <selection activeCell="AH56" sqref="AH56"/>
    </sheetView>
  </sheetViews>
  <sheetFormatPr defaultColWidth="6.5703125" defaultRowHeight="12"/>
  <cols>
    <col min="1" max="1" width="19.5703125" style="1" bestFit="1" customWidth="1"/>
    <col min="2" max="2" width="9" style="1" bestFit="1" customWidth="1"/>
    <col min="3" max="3" width="4" style="3" customWidth="1"/>
    <col min="4" max="4" width="6" style="3" bestFit="1" customWidth="1"/>
    <col min="5" max="5" width="5" style="1" bestFit="1" customWidth="1"/>
    <col min="6" max="6" width="4.42578125" style="3" customWidth="1"/>
    <col min="7" max="7" width="6.28515625" style="3" bestFit="1" customWidth="1"/>
    <col min="8" max="8" width="9" style="4" bestFit="1" customWidth="1"/>
    <col min="9" max="9" width="9" style="2" bestFit="1" customWidth="1"/>
    <col min="10" max="10" width="7.85546875" style="2" bestFit="1" customWidth="1"/>
    <col min="11" max="12" width="9.28515625" style="2" customWidth="1"/>
    <col min="13" max="13" width="9" style="4" bestFit="1" customWidth="1"/>
    <col min="14" max="14" width="8" style="5" customWidth="1"/>
    <col min="15" max="15" width="5.28515625" style="6" bestFit="1" customWidth="1"/>
    <col min="16" max="16" width="9" style="4" bestFit="1" customWidth="1"/>
    <col min="17" max="17" width="9.28515625" style="7" customWidth="1"/>
    <col min="18" max="19" width="9" style="4" bestFit="1" customWidth="1"/>
    <col min="20" max="20" width="10.28515625" style="1" hidden="1" customWidth="1"/>
    <col min="21" max="21" width="7.85546875" style="1" hidden="1" customWidth="1"/>
    <col min="22" max="22" width="6.5703125" style="1"/>
    <col min="23" max="25" width="6.5703125" style="1" bestFit="1" customWidth="1"/>
    <col min="26" max="26" width="6.5703125" style="8" bestFit="1" customWidth="1"/>
    <col min="27" max="27" width="8" style="1" bestFit="1" customWidth="1"/>
    <col min="28" max="28" width="11.28515625" style="1" bestFit="1" customWidth="1"/>
    <col min="29" max="29" width="11" style="1" customWidth="1"/>
    <col min="30" max="31" width="6.5703125" style="9"/>
    <col min="32" max="32" width="6.85546875" style="69" bestFit="1" customWidth="1"/>
    <col min="33" max="33" width="6.42578125" style="10" bestFit="1" customWidth="1"/>
    <col min="34" max="34" width="7.28515625" style="3" bestFit="1" customWidth="1"/>
    <col min="35" max="35" width="11.28515625" style="85" bestFit="1" customWidth="1"/>
    <col min="36" max="38" width="10.28515625" style="75" customWidth="1"/>
    <col min="39" max="39" width="6.5703125" style="11" bestFit="1" customWidth="1"/>
    <col min="40" max="40" width="8.140625" style="11" bestFit="1" customWidth="1"/>
    <col min="41" max="41" width="6.5703125" style="11" bestFit="1" customWidth="1"/>
    <col min="42" max="42" width="6.5703125" style="68" bestFit="1" customWidth="1"/>
    <col min="43" max="43" width="8.140625" style="11" bestFit="1" customWidth="1"/>
    <col min="44" max="44" width="6.5703125" style="11" bestFit="1" customWidth="1"/>
    <col min="45" max="45" width="6.5703125" style="68" bestFit="1" customWidth="1"/>
    <col min="46" max="46" width="8.140625" style="11" bestFit="1" customWidth="1"/>
    <col min="47" max="47" width="6.5703125" style="11" bestFit="1" customWidth="1"/>
    <col min="48" max="48" width="6.5703125" style="68" bestFit="1" customWidth="1"/>
    <col min="49" max="49" width="6.5703125" style="68" customWidth="1"/>
    <col min="50" max="50" width="9" style="75" bestFit="1" customWidth="1"/>
    <col min="51" max="51" width="9" style="75" customWidth="1"/>
    <col min="52" max="53" width="6.5703125" style="75" customWidth="1"/>
    <col min="54" max="54" width="8.42578125" style="75" bestFit="1" customWidth="1"/>
    <col min="55" max="55" width="6.5703125" style="68" customWidth="1"/>
    <col min="56" max="56" width="7.7109375" style="68" bestFit="1" customWidth="1"/>
    <col min="57" max="57" width="6.5703125" style="1"/>
    <col min="58" max="58" width="6.5703125" style="3" bestFit="1" customWidth="1"/>
    <col min="59" max="59" width="6.5703125" style="3"/>
    <col min="60" max="61" width="8.140625" style="3" bestFit="1" customWidth="1"/>
    <col min="62" max="62" width="8.140625" style="11" bestFit="1" customWidth="1"/>
    <col min="63" max="65" width="6" style="11" bestFit="1" customWidth="1"/>
    <col min="66" max="68" width="6.5703125" style="12" bestFit="1" customWidth="1"/>
    <col min="69" max="16384" width="6.5703125" style="1"/>
  </cols>
  <sheetData>
    <row r="2" spans="1:68">
      <c r="B2" s="2"/>
      <c r="AB2" s="1" t="s">
        <v>129</v>
      </c>
      <c r="AG2" s="86" t="s">
        <v>128</v>
      </c>
      <c r="AH2" s="15">
        <f>IF(Loan!F4="Στεγαστικό",0.0012,0.006)</f>
        <v>1.1999999999999999E-3</v>
      </c>
      <c r="AN2" s="80" t="s">
        <v>136</v>
      </c>
      <c r="AO2" s="81">
        <f>ROUND(AB12,0)</f>
        <v>430</v>
      </c>
    </row>
    <row r="3" spans="1:68">
      <c r="B3" s="4"/>
      <c r="C3" s="13"/>
      <c r="D3" s="13"/>
      <c r="E3" s="14"/>
      <c r="F3" s="13"/>
      <c r="I3" s="4">
        <f>SUM(I5:I303)</f>
        <v>150000</v>
      </c>
      <c r="J3" s="4">
        <f>SUM(J5:J303)</f>
        <v>0</v>
      </c>
      <c r="K3" s="161" t="s">
        <v>0</v>
      </c>
      <c r="L3" s="161" t="s">
        <v>3</v>
      </c>
      <c r="O3" s="4"/>
      <c r="P3" s="4">
        <f>SUM(P5:P303)</f>
        <v>136086.61704542034</v>
      </c>
      <c r="Q3" s="7">
        <f>SUM(Q5:Q303)</f>
        <v>334944.28200599964</v>
      </c>
      <c r="R3" s="4">
        <f>SUM(R5:R303)</f>
        <v>198857.66496057974</v>
      </c>
      <c r="T3" s="161" t="s">
        <v>0</v>
      </c>
      <c r="U3" s="162" t="s">
        <v>1</v>
      </c>
      <c r="AB3" s="1" t="s">
        <v>130</v>
      </c>
      <c r="AG3" s="86" t="s">
        <v>62</v>
      </c>
      <c r="AH3" s="15">
        <f>AB10</f>
        <v>0.02</v>
      </c>
      <c r="AI3" s="87"/>
      <c r="AJ3" s="76"/>
      <c r="AK3" s="76"/>
      <c r="AL3" s="76"/>
      <c r="AN3" s="80" t="s">
        <v>137</v>
      </c>
      <c r="AO3" s="81">
        <f ca="1">ROUND(AC17,0)</f>
        <v>150</v>
      </c>
    </row>
    <row r="4" spans="1:68">
      <c r="B4" s="4"/>
      <c r="C4" s="16" t="s">
        <v>2</v>
      </c>
      <c r="D4" s="16" t="s">
        <v>3</v>
      </c>
      <c r="E4" s="16" t="s">
        <v>4</v>
      </c>
      <c r="F4" s="16" t="s">
        <v>5</v>
      </c>
      <c r="G4" s="17" t="s">
        <v>6</v>
      </c>
      <c r="H4" s="18" t="s">
        <v>7</v>
      </c>
      <c r="I4" s="18" t="s">
        <v>8</v>
      </c>
      <c r="J4" s="18" t="s">
        <v>9</v>
      </c>
      <c r="K4" s="161"/>
      <c r="L4" s="161"/>
      <c r="M4" s="18" t="s">
        <v>7</v>
      </c>
      <c r="N4" s="19"/>
      <c r="O4" s="18" t="s">
        <v>10</v>
      </c>
      <c r="P4" s="18" t="s">
        <v>11</v>
      </c>
      <c r="Q4" s="20" t="s">
        <v>12</v>
      </c>
      <c r="R4" s="18" t="s">
        <v>13</v>
      </c>
      <c r="S4" s="18" t="s">
        <v>14</v>
      </c>
      <c r="T4" s="161"/>
      <c r="U4" s="162"/>
      <c r="AE4" s="165" t="s">
        <v>145</v>
      </c>
      <c r="AF4" s="165"/>
      <c r="AG4" s="165"/>
      <c r="AH4" s="75">
        <f ca="1">AVERAGE(AK7:AK259)</f>
        <v>2.1682948797893404</v>
      </c>
      <c r="AJ4" s="75">
        <f ca="1">MAX(AJ7:AJ259)</f>
        <v>110.58303886925636</v>
      </c>
      <c r="AN4" s="80" t="s">
        <v>141</v>
      </c>
      <c r="AO4" s="81">
        <f ca="1">AO2+AO3</f>
        <v>580</v>
      </c>
    </row>
    <row r="5" spans="1:68" ht="14.65" customHeight="1">
      <c r="A5" s="21" t="s">
        <v>15</v>
      </c>
      <c r="B5" s="22">
        <f>292089.36+50000</f>
        <v>342089.36</v>
      </c>
      <c r="C5" s="3">
        <f>IF(G5/12=INT(G5/12),INT(G5/12),INT(G5/12)+1)</f>
        <v>1</v>
      </c>
      <c r="D5" s="23">
        <v>9</v>
      </c>
      <c r="E5" s="1">
        <f>2019</f>
        <v>2019</v>
      </c>
      <c r="F5" s="3">
        <f>ROUND(((E5-1962)*12+D5-8)/12,0)</f>
        <v>57</v>
      </c>
      <c r="G5" s="3">
        <v>1</v>
      </c>
      <c r="H5" s="24">
        <f>B5</f>
        <v>342089.36</v>
      </c>
      <c r="I5" s="2">
        <v>150000</v>
      </c>
      <c r="L5" s="25" t="str">
        <f ca="1">IF(AND(YEAR(TODAY())=E5,MONTH(TODAY())=D5),"current","")</f>
        <v/>
      </c>
      <c r="M5" s="2">
        <v>200000</v>
      </c>
      <c r="N5" s="5">
        <v>0</v>
      </c>
      <c r="O5" s="6">
        <f>N5+$B$22+$B$23</f>
        <v>2.87E-2</v>
      </c>
      <c r="P5" s="4">
        <f t="shared" ref="P5:P68" si="0">M5*O5/12</f>
        <v>478.33333333333331</v>
      </c>
      <c r="Q5" s="7">
        <f>IF(C5&gt;$B$6,0,(M5/((1-(1+O5/12)^-($B$6*12-G5+1))/(O5/12))))</f>
        <v>934.95487455811542</v>
      </c>
      <c r="R5" s="4">
        <f>Q5-P5</f>
        <v>456.62154122478211</v>
      </c>
      <c r="S5" s="4">
        <f t="shared" ref="S5:S68" si="1">M5-R5</f>
        <v>199543.37845877523</v>
      </c>
      <c r="T5" s="4">
        <f>K5</f>
        <v>0</v>
      </c>
      <c r="U5" s="4">
        <f>T5+S5</f>
        <v>199543.37845877523</v>
      </c>
      <c r="AD5" s="84"/>
      <c r="AE5" s="166" t="s">
        <v>147</v>
      </c>
      <c r="AF5" s="166"/>
      <c r="AG5" s="166"/>
      <c r="AH5" s="75">
        <f ca="1">VLOOKUP(TODAY(),Eur3M,6)</f>
        <v>1.5118626956080508</v>
      </c>
      <c r="AJ5" s="90" t="s">
        <v>146</v>
      </c>
      <c r="AL5" s="89"/>
      <c r="AN5" s="156">
        <v>20</v>
      </c>
      <c r="AO5" s="157"/>
      <c r="AP5" s="158"/>
      <c r="AQ5" s="156">
        <v>25</v>
      </c>
      <c r="AR5" s="157"/>
      <c r="AS5" s="158"/>
      <c r="AT5" s="156">
        <v>30</v>
      </c>
      <c r="AU5" s="157"/>
      <c r="AV5" s="158"/>
      <c r="AW5" s="163" t="s">
        <v>116</v>
      </c>
      <c r="AX5" s="164"/>
      <c r="AY5" s="164"/>
      <c r="AZ5" s="164"/>
      <c r="BA5" s="164"/>
      <c r="BB5" s="164"/>
      <c r="BC5" s="11"/>
      <c r="BD5" s="11"/>
    </row>
    <row r="6" spans="1:68" ht="48">
      <c r="A6" s="1" t="s">
        <v>16</v>
      </c>
      <c r="B6" s="1">
        <v>25</v>
      </c>
      <c r="C6" s="3">
        <f t="shared" ref="C6:C69" si="2">IF(G6/12=INT(G6/12),INT(G6/12),INT(G6/12)+1)</f>
        <v>1</v>
      </c>
      <c r="D6" s="3">
        <f>IF(D5+1&gt;12,1,D5+1)</f>
        <v>10</v>
      </c>
      <c r="E6" s="1">
        <f>IF(D6=1,E5+1,E5)</f>
        <v>2019</v>
      </c>
      <c r="F6" s="3">
        <f t="shared" ref="F6:F69" si="3">ROUND(((E6-1962)*12+D6-8)/12,0)</f>
        <v>57</v>
      </c>
      <c r="G6" s="3">
        <f>G5+1</f>
        <v>2</v>
      </c>
      <c r="H6" s="4">
        <f t="shared" ref="H6:H37" si="4">IF(C6&gt;$B$6,0,S5)</f>
        <v>199543.37845877523</v>
      </c>
      <c r="L6" s="25" t="str">
        <f t="shared" ref="L6:L69" ca="1" si="5">IF(AND(YEAR(TODAY())=E6,MONTH(TODAY())=D6),"current","")</f>
        <v/>
      </c>
      <c r="M6" s="4">
        <f t="shared" ref="M6:M69" si="6">H6-I6-J6-K6</f>
        <v>199543.37845877523</v>
      </c>
      <c r="N6" s="5">
        <v>0</v>
      </c>
      <c r="O6" s="6">
        <f t="shared" ref="O6:O69" si="7">N6+$B$22+$B$23</f>
        <v>2.87E-2</v>
      </c>
      <c r="P6" s="4">
        <f t="shared" si="0"/>
        <v>477.24124681390413</v>
      </c>
      <c r="Q6" s="7">
        <f t="shared" ref="Q6:Q69" si="8">IF(C6&gt;$B$6,0,(M6/((1-(1+O6/12)^-($B$6*12-G6+1))/(O6/12))))</f>
        <v>934.95487455811565</v>
      </c>
      <c r="R6" s="4">
        <f>Q6-P6</f>
        <v>457.71362774421152</v>
      </c>
      <c r="S6" s="4">
        <f t="shared" si="1"/>
        <v>199085.66483103103</v>
      </c>
      <c r="T6" s="4">
        <f>T5</f>
        <v>0</v>
      </c>
      <c r="U6" s="4">
        <f t="shared" ref="U6:U69" si="9">T6+S6</f>
        <v>199085.66483103103</v>
      </c>
      <c r="W6" s="26">
        <f>Q6/Q5-1</f>
        <v>0</v>
      </c>
      <c r="X6" s="27">
        <f>Q6-Q5</f>
        <v>0</v>
      </c>
      <c r="AF6" s="10" t="s">
        <v>33</v>
      </c>
      <c r="AG6" s="10" t="s">
        <v>33</v>
      </c>
      <c r="AH6" s="3" t="s">
        <v>30</v>
      </c>
      <c r="AI6" s="87" t="s">
        <v>61</v>
      </c>
      <c r="AJ6" s="90"/>
      <c r="AK6" s="90" t="s">
        <v>150</v>
      </c>
      <c r="AL6" s="89" t="s">
        <v>151</v>
      </c>
      <c r="AM6" s="11" t="s">
        <v>34</v>
      </c>
      <c r="AN6" s="3" t="s">
        <v>36</v>
      </c>
      <c r="AO6" s="11" t="s">
        <v>43</v>
      </c>
      <c r="AP6" s="68" t="s">
        <v>39</v>
      </c>
      <c r="AQ6" s="3" t="s">
        <v>37</v>
      </c>
      <c r="AR6" s="11" t="s">
        <v>45</v>
      </c>
      <c r="AS6" s="68" t="s">
        <v>63</v>
      </c>
      <c r="AT6" s="3" t="s">
        <v>38</v>
      </c>
      <c r="AU6" s="11" t="s">
        <v>44</v>
      </c>
      <c r="AV6" s="68" t="s">
        <v>41</v>
      </c>
      <c r="BF6" s="3" t="s">
        <v>35</v>
      </c>
      <c r="BG6" s="3" t="s">
        <v>42</v>
      </c>
      <c r="BH6" s="3" t="s">
        <v>36</v>
      </c>
      <c r="BI6" s="3" t="s">
        <v>37</v>
      </c>
      <c r="BJ6" s="11" t="s">
        <v>38</v>
      </c>
      <c r="BK6" s="11" t="s">
        <v>43</v>
      </c>
      <c r="BL6" s="11" t="s">
        <v>45</v>
      </c>
      <c r="BM6" s="11" t="s">
        <v>44</v>
      </c>
      <c r="BN6" s="28" t="s">
        <v>39</v>
      </c>
      <c r="BO6" s="28" t="s">
        <v>40</v>
      </c>
      <c r="BP6" s="28" t="s">
        <v>41</v>
      </c>
    </row>
    <row r="7" spans="1:68">
      <c r="C7" s="3">
        <f t="shared" si="2"/>
        <v>1</v>
      </c>
      <c r="D7" s="3">
        <f t="shared" ref="D7:D70" si="10">IF(D6+1&gt;12,1,D6+1)</f>
        <v>11</v>
      </c>
      <c r="E7" s="1">
        <f t="shared" ref="E7:E70" si="11">IF(D7=1,E6+1,E6)</f>
        <v>2019</v>
      </c>
      <c r="F7" s="3">
        <f t="shared" si="3"/>
        <v>57</v>
      </c>
      <c r="G7" s="3">
        <f t="shared" ref="G7:G70" si="12">G6+1</f>
        <v>3</v>
      </c>
      <c r="H7" s="4">
        <f t="shared" si="4"/>
        <v>199085.66483103103</v>
      </c>
      <c r="L7" s="25" t="str">
        <f t="shared" ca="1" si="5"/>
        <v/>
      </c>
      <c r="M7" s="4">
        <f t="shared" si="6"/>
        <v>199085.66483103103</v>
      </c>
      <c r="N7" s="5">
        <v>0</v>
      </c>
      <c r="O7" s="6">
        <f t="shared" si="7"/>
        <v>2.87E-2</v>
      </c>
      <c r="P7" s="4">
        <f t="shared" si="0"/>
        <v>476.14654838754922</v>
      </c>
      <c r="Q7" s="7">
        <f t="shared" si="8"/>
        <v>934.95487455811542</v>
      </c>
      <c r="R7" s="4">
        <f t="shared" ref="R7:R70" si="13">Q7-P7</f>
        <v>458.8083261705662</v>
      </c>
      <c r="S7" s="4">
        <f t="shared" si="1"/>
        <v>198626.85650486045</v>
      </c>
      <c r="T7" s="4">
        <f t="shared" ref="T7:T70" si="14">T6</f>
        <v>0</v>
      </c>
      <c r="U7" s="4">
        <f t="shared" si="9"/>
        <v>198626.85650486045</v>
      </c>
      <c r="W7" s="26">
        <f t="shared" ref="W7:W49" si="15">Q7/Q6-1</f>
        <v>0</v>
      </c>
      <c r="X7" s="27">
        <f t="shared" ref="X7:X65" si="16">Q7-Q6</f>
        <v>0</v>
      </c>
      <c r="Y7" s="149" t="s">
        <v>104</v>
      </c>
      <c r="Z7" s="150"/>
      <c r="AA7" s="150"/>
      <c r="AB7" s="150"/>
      <c r="AC7" s="150"/>
      <c r="AD7" s="150"/>
      <c r="AE7" s="151"/>
      <c r="AF7" s="70">
        <f>AG7</f>
        <v>44755</v>
      </c>
      <c r="AG7" s="10">
        <v>44755</v>
      </c>
      <c r="AH7" s="29">
        <v>0</v>
      </c>
      <c r="AI7" s="87" t="str">
        <f t="shared" ref="AI7" ca="1" si="17">IF(AG7&lt;TODAY(),"",($AB$55-AH6)/($AB$53-AF6))</f>
        <v/>
      </c>
      <c r="AJ7" s="76">
        <f ca="1">IF(TODAY()&gt;=AG7,10000*AH7,"")</f>
        <v>0</v>
      </c>
      <c r="AK7" s="76">
        <v>0</v>
      </c>
      <c r="AL7" s="76"/>
      <c r="AN7" s="11">
        <f>100000/((1-(1+($AH7+$AH$3+$AH$2)/12)^-(AN$5*12))/(($AH7+$AH$3+$AH$2)/12))</f>
        <v>511.58608747271114</v>
      </c>
      <c r="AQ7" s="11">
        <f>100000/((1-(1+($AH7+$AH$3+$AH$2)/12)^-(AQ$5*12))/(($AH7+$AH$3+$AH$2)/12))</f>
        <v>429.72072606902401</v>
      </c>
      <c r="AT7" s="11">
        <f>100000/((1-(1+($AH7+$AH$3+$AH$2)/12)^-(AT$5*12))/(($AH7+$AH$3+$AH$2)/12))</f>
        <v>375.64912371212006</v>
      </c>
      <c r="AW7" s="10">
        <f>AG7</f>
        <v>44755</v>
      </c>
      <c r="AX7" s="75">
        <f>AB8</f>
        <v>100000</v>
      </c>
      <c r="AY7" s="75">
        <f>AX7/((1-(1+(AH7+$AB$10+$AH$2)/365)^-(AB9*365))/((AH7+$AB$10+$AH$2)/365))</f>
        <v>14.118661278203284</v>
      </c>
      <c r="AZ7" s="75">
        <f>AX7*(AH7+$AB$10+$AH$2)/365</f>
        <v>5.8082191780821919</v>
      </c>
      <c r="BA7" s="75">
        <f>AY7-AZ7</f>
        <v>8.310442100121092</v>
      </c>
      <c r="BB7" s="75">
        <f>AX7-BA7</f>
        <v>99991.689557899881</v>
      </c>
      <c r="BD7" s="82">
        <v>3</v>
      </c>
      <c r="BE7" s="6">
        <v>7.4999999999999997E-3</v>
      </c>
      <c r="BF7" s="10">
        <f>AG7</f>
        <v>44755</v>
      </c>
      <c r="BG7" s="11" t="s">
        <v>46</v>
      </c>
      <c r="BH7" s="11">
        <f t="shared" ref="BH7:BH38" si="18">VLOOKUP($BF7,Eur3M,5)</f>
        <v>0</v>
      </c>
      <c r="BI7" s="11">
        <f t="shared" ref="BI7:BI38" si="19">VLOOKUP($BF7,Eur3M,8)</f>
        <v>511.58608747271114</v>
      </c>
      <c r="BJ7" s="11">
        <f t="shared" ref="BJ7:BJ38" si="20">VLOOKUP($BF7,Eur3M,11)</f>
        <v>429.72072606902401</v>
      </c>
      <c r="BK7" s="11">
        <v>0</v>
      </c>
      <c r="BL7" s="11">
        <v>0</v>
      </c>
      <c r="BM7" s="11">
        <v>0</v>
      </c>
      <c r="BN7" s="28">
        <f t="shared" ref="BN7:BN38" si="21">VLOOKUP($BF7,Eur3M,7)</f>
        <v>0</v>
      </c>
      <c r="BO7" s="28">
        <f t="shared" ref="BO7:BO38" si="22">VLOOKUP($BF7,Eur3M,10)</f>
        <v>0</v>
      </c>
      <c r="BP7" s="28">
        <f t="shared" ref="BP7:BP38" si="23">VLOOKUP($BF7,Eur3M,13)</f>
        <v>0</v>
      </c>
    </row>
    <row r="8" spans="1:68" s="33" customFormat="1">
      <c r="A8" s="30" t="s">
        <v>17</v>
      </c>
      <c r="B8" s="31">
        <f>B9+B10</f>
        <v>227952.54</v>
      </c>
      <c r="C8" s="32">
        <f t="shared" si="2"/>
        <v>1</v>
      </c>
      <c r="D8" s="32">
        <f t="shared" si="10"/>
        <v>12</v>
      </c>
      <c r="E8" s="33">
        <f t="shared" si="11"/>
        <v>2019</v>
      </c>
      <c r="F8" s="32">
        <f t="shared" si="3"/>
        <v>57</v>
      </c>
      <c r="G8" s="32">
        <f t="shared" si="12"/>
        <v>4</v>
      </c>
      <c r="H8" s="34">
        <f t="shared" si="4"/>
        <v>198626.85650486045</v>
      </c>
      <c r="I8" s="35"/>
      <c r="J8" s="35"/>
      <c r="K8" s="35"/>
      <c r="L8" s="25" t="str">
        <f t="shared" ca="1" si="5"/>
        <v/>
      </c>
      <c r="M8" s="34">
        <f t="shared" si="6"/>
        <v>198626.85650486045</v>
      </c>
      <c r="N8" s="5">
        <v>0</v>
      </c>
      <c r="O8" s="6">
        <f t="shared" si="7"/>
        <v>2.87E-2</v>
      </c>
      <c r="P8" s="34">
        <f t="shared" si="0"/>
        <v>475.04923180745794</v>
      </c>
      <c r="Q8" s="7">
        <f t="shared" si="8"/>
        <v>934.95487455811542</v>
      </c>
      <c r="R8" s="34">
        <f t="shared" si="13"/>
        <v>459.90564275065748</v>
      </c>
      <c r="S8" s="34">
        <f t="shared" si="1"/>
        <v>198166.95086210981</v>
      </c>
      <c r="T8" s="34">
        <f t="shared" si="14"/>
        <v>0</v>
      </c>
      <c r="U8" s="34">
        <f t="shared" si="9"/>
        <v>198166.95086210981</v>
      </c>
      <c r="W8" s="26">
        <f t="shared" si="15"/>
        <v>0</v>
      </c>
      <c r="X8" s="27">
        <f t="shared" si="16"/>
        <v>0</v>
      </c>
      <c r="Y8" s="74" t="s">
        <v>115</v>
      </c>
      <c r="Z8" s="1"/>
      <c r="AA8" s="1"/>
      <c r="AB8" s="11">
        <f>Loan!F5</f>
        <v>100000</v>
      </c>
      <c r="AC8" s="4">
        <f ca="1">VLOOKUP(AB13,amort,6)</f>
        <v>98336.261655423179</v>
      </c>
      <c r="AD8" s="1"/>
      <c r="AE8" s="1"/>
      <c r="AF8" s="70">
        <f>AG8</f>
        <v>44756</v>
      </c>
      <c r="AG8" s="10">
        <f>AG7+1</f>
        <v>44756</v>
      </c>
      <c r="AH8" s="29">
        <v>2.0000000000000002E-5</v>
      </c>
      <c r="AI8" s="87" t="str">
        <f t="shared" ref="AI8:AI54" ca="1" si="24">IF(AG8&lt;TODAY()-1,"",($AB$55-AH7)/($AB$53-AF7))</f>
        <v/>
      </c>
      <c r="AJ8" s="76">
        <f t="shared" ref="AJ8:AJ71" ca="1" si="25">IF(TODAY()&gt;=AG8,10000*AH8,"")</f>
        <v>0.2</v>
      </c>
      <c r="AK8" s="76">
        <f ca="1">IF(AJ8&lt;&gt;"",AJ8-AJ7,"")</f>
        <v>0.2</v>
      </c>
      <c r="AL8" s="76"/>
      <c r="AM8" s="11">
        <f t="shared" ref="AM8:AM71" si="26">10000*(AH8-AH$7)</f>
        <v>0.2</v>
      </c>
      <c r="AN8" s="11">
        <f t="shared" ref="AN8:AN71" si="27">100000/((1-(1+($AH8+$AH$3+$AH$2)/12)^-(AN$5*12))/(($AH8+$AH$3+$AH$2)/12))</f>
        <v>511.68146556569894</v>
      </c>
      <c r="AO8" s="11">
        <f t="shared" ref="AO8:AO52" si="28">AN8-AN$7</f>
        <v>9.5378092987800756E-2</v>
      </c>
      <c r="AP8" s="12">
        <f t="shared" ref="AP8:AP52" si="29">AO8/AN$7</f>
        <v>1.8643605704560601E-4</v>
      </c>
      <c r="AQ8" s="11">
        <f t="shared" ref="AQ8:AQ71" si="30">100000/((1-(1+($AH8+$AH$3+$AH$2)/12)^-(AQ$5*12))/(($AH8+$AH$3+$AH$2)/12))</f>
        <v>429.81891046699417</v>
      </c>
      <c r="AR8" s="11">
        <f t="shared" ref="AR8:AR52" si="31">AQ8-AQ$7</f>
        <v>9.8184397970157988E-2</v>
      </c>
      <c r="AS8" s="12">
        <f t="shared" ref="AS8:AS52" si="32">AR8/AQ$7</f>
        <v>2.2848420384169948E-4</v>
      </c>
      <c r="AT8" s="11">
        <f t="shared" ref="AT8:AT71" si="33">100000/((1-(1+($AH8+$AH$3+$AH$2)/12)^-(AT$5*12))/(($AH8+$AH$3+$AH$2)/12))</f>
        <v>375.75010563105843</v>
      </c>
      <c r="AU8" s="11">
        <f t="shared" ref="AU8:AU52" si="34">AT8-AT$7</f>
        <v>0.10098191893837338</v>
      </c>
      <c r="AV8" s="12">
        <f t="shared" ref="AV8:AV52" si="35">AU8/AT$7</f>
        <v>2.6881979103393627E-4</v>
      </c>
      <c r="AW8" s="10">
        <f t="shared" ref="AW8:AW71" si="36">AG8</f>
        <v>44756</v>
      </c>
      <c r="AX8" s="76">
        <f>BB7</f>
        <v>99991.689557899881</v>
      </c>
      <c r="AY8" s="75">
        <f>AX8/((1-(1+(AH8+$AB$10+$AH$2)/365)^-($AB$9*365-(AG8-AG7)))/((AH8+$AB$10+$AH$2)/365))</f>
        <v>14.121880718004622</v>
      </c>
      <c r="AZ8" s="75">
        <f t="shared" ref="AZ8:AZ71" si="37">AX8*(AH8+$AB$10+$AH$2)/365</f>
        <v>5.8132154860784535</v>
      </c>
      <c r="BA8" s="75">
        <f>AY8-AZ8</f>
        <v>8.3086652319261685</v>
      </c>
      <c r="BB8" s="75">
        <f>AX8-BA8</f>
        <v>99983.380892667949</v>
      </c>
      <c r="BC8" s="12"/>
      <c r="BD8" s="82">
        <f>BD7+1</f>
        <v>4</v>
      </c>
      <c r="BE8" s="83">
        <f>BE7+0.0025</f>
        <v>0.01</v>
      </c>
      <c r="BF8" s="10">
        <f>BF7+7</f>
        <v>44762</v>
      </c>
      <c r="BG8" s="11" t="s">
        <v>47</v>
      </c>
      <c r="BH8" s="11">
        <f t="shared" ca="1" si="18"/>
        <v>8.3000000000000007</v>
      </c>
      <c r="BI8" s="11">
        <f t="shared" si="19"/>
        <v>517.56812122674478</v>
      </c>
      <c r="BJ8" s="11">
        <f t="shared" si="20"/>
        <v>435.88310801668405</v>
      </c>
      <c r="BK8" s="11">
        <f t="shared" ref="BK8:BK16" ca="1" si="38">BH8-BH$7</f>
        <v>8.3000000000000007</v>
      </c>
      <c r="BL8" s="11">
        <f t="shared" ref="BL8:BL16" si="39">BI8-BI$7</f>
        <v>5.9820337540336368</v>
      </c>
      <c r="BM8" s="11">
        <f t="shared" ref="BM8:BM16" si="40">BJ8-BJ$7</f>
        <v>6.1623819476600374</v>
      </c>
      <c r="BN8" s="28">
        <f t="shared" si="21"/>
        <v>12.5</v>
      </c>
      <c r="BO8" s="28">
        <f t="shared" si="22"/>
        <v>1.1693112655947135E-2</v>
      </c>
      <c r="BP8" s="28">
        <f t="shared" si="23"/>
        <v>1.4340434551602716E-2</v>
      </c>
    </row>
    <row r="9" spans="1:68">
      <c r="A9" s="1" t="s">
        <v>18</v>
      </c>
      <c r="B9" s="4">
        <v>184835.73</v>
      </c>
      <c r="C9" s="3">
        <f t="shared" si="2"/>
        <v>1</v>
      </c>
      <c r="D9" s="3">
        <f t="shared" si="10"/>
        <v>1</v>
      </c>
      <c r="E9" s="1">
        <f t="shared" si="11"/>
        <v>2020</v>
      </c>
      <c r="F9" s="3">
        <f t="shared" si="3"/>
        <v>57</v>
      </c>
      <c r="G9" s="3">
        <f t="shared" si="12"/>
        <v>5</v>
      </c>
      <c r="H9" s="4">
        <f t="shared" si="4"/>
        <v>198166.95086210981</v>
      </c>
      <c r="L9" s="25" t="str">
        <f t="shared" ca="1" si="5"/>
        <v/>
      </c>
      <c r="M9" s="4">
        <f t="shared" si="6"/>
        <v>198166.95086210981</v>
      </c>
      <c r="N9" s="5">
        <v>0</v>
      </c>
      <c r="O9" s="6">
        <f t="shared" si="7"/>
        <v>2.87E-2</v>
      </c>
      <c r="P9" s="4">
        <f t="shared" si="0"/>
        <v>473.94929081187928</v>
      </c>
      <c r="Q9" s="7">
        <f t="shared" si="8"/>
        <v>934.95487455811565</v>
      </c>
      <c r="R9" s="4">
        <f t="shared" si="13"/>
        <v>461.00558374623637</v>
      </c>
      <c r="S9" s="4">
        <f t="shared" si="1"/>
        <v>197705.94527836356</v>
      </c>
      <c r="T9" s="4">
        <f t="shared" si="14"/>
        <v>0</v>
      </c>
      <c r="U9" s="4">
        <f t="shared" si="9"/>
        <v>197705.94527836356</v>
      </c>
      <c r="W9" s="26">
        <f t="shared" si="15"/>
        <v>0</v>
      </c>
      <c r="X9" s="27">
        <f t="shared" si="16"/>
        <v>0</v>
      </c>
      <c r="Y9" s="152" t="s">
        <v>105</v>
      </c>
      <c r="Z9" s="153"/>
      <c r="AA9" s="153"/>
      <c r="AB9" s="3">
        <f>Loan!F6</f>
        <v>25</v>
      </c>
      <c r="AE9" s="91" t="str">
        <f ca="1">IF(AG9=TODAY(),"today",IF(AG9=TODAY()-1,"last available",""))</f>
        <v/>
      </c>
      <c r="AF9" s="70">
        <f t="shared" ref="AF9:AF72" si="41">AG9</f>
        <v>44757</v>
      </c>
      <c r="AG9" s="10">
        <f>AG8+1</f>
        <v>44757</v>
      </c>
      <c r="AH9" s="29">
        <v>7.2000000000000005E-4</v>
      </c>
      <c r="AI9" s="87" t="str">
        <f t="shared" ca="1" si="24"/>
        <v/>
      </c>
      <c r="AJ9" s="76">
        <f t="shared" ca="1" si="25"/>
        <v>7.2</v>
      </c>
      <c r="AK9" s="76">
        <f t="shared" ref="AK9:AK72" ca="1" si="42">IF(AJ9&lt;&gt;"",AJ9-AJ8,"")</f>
        <v>7</v>
      </c>
      <c r="AL9" s="76"/>
      <c r="AM9" s="11">
        <f t="shared" si="26"/>
        <v>7.2</v>
      </c>
      <c r="AN9" s="11">
        <f t="shared" si="27"/>
        <v>515.02655314569427</v>
      </c>
      <c r="AO9" s="11">
        <f t="shared" si="28"/>
        <v>3.4404656729831231</v>
      </c>
      <c r="AP9" s="12">
        <f t="shared" si="29"/>
        <v>6.7250962393824738E-3</v>
      </c>
      <c r="AQ9" s="11">
        <f t="shared" si="30"/>
        <v>433.26384468500822</v>
      </c>
      <c r="AR9" s="11">
        <f t="shared" si="31"/>
        <v>3.5431186159842127</v>
      </c>
      <c r="AS9" s="12">
        <f t="shared" si="32"/>
        <v>8.2451657577603046E-3</v>
      </c>
      <c r="AT9" s="11">
        <f t="shared" si="33"/>
        <v>379.29452232518003</v>
      </c>
      <c r="AU9" s="11">
        <f t="shared" si="34"/>
        <v>3.6453986130599674</v>
      </c>
      <c r="AV9" s="12">
        <f t="shared" si="35"/>
        <v>9.7042649189130834E-3</v>
      </c>
      <c r="AW9" s="10">
        <f t="shared" si="36"/>
        <v>44757</v>
      </c>
      <c r="AX9" s="76">
        <f t="shared" ref="AX9:AX18" si="43">BB8</f>
        <v>99983.380892667949</v>
      </c>
      <c r="AY9" s="75">
        <f t="shared" ref="AY9:AY72" si="44">AX9/((1-(1+(AH9+$AB$10+$AH$2)/365)^-($AB$9*365-(AG9-AG8)))/((AH9+$AB$10+$AH$2)/365))</f>
        <v>14.233657751569813</v>
      </c>
      <c r="AZ9" s="75">
        <f t="shared" si="37"/>
        <v>6.0044813949788525</v>
      </c>
      <c r="BA9" s="75">
        <f t="shared" ref="BA9:BA18" si="45">AY9-AZ9</f>
        <v>8.2291763565909619</v>
      </c>
      <c r="BB9" s="75">
        <f t="shared" ref="BB9:BB18" si="46">AX9-BA9</f>
        <v>99975.15171631136</v>
      </c>
      <c r="BC9" s="12"/>
      <c r="BD9" s="82">
        <f t="shared" ref="BD9:BD38" si="47">BD8+1</f>
        <v>5</v>
      </c>
      <c r="BE9" s="83">
        <f t="shared" ref="BE9:BE56" si="48">BE8+0.0025</f>
        <v>1.2500000000000001E-2</v>
      </c>
      <c r="BF9" s="10">
        <f t="shared" ref="BF9:BF15" si="49">BF8+7</f>
        <v>44769</v>
      </c>
      <c r="BG9" s="11" t="s">
        <v>48</v>
      </c>
      <c r="BH9" s="11">
        <f t="shared" ca="1" si="18"/>
        <v>2.6000000000000014</v>
      </c>
      <c r="BI9" s="11">
        <f t="shared" si="19"/>
        <v>523.012389141683</v>
      </c>
      <c r="BJ9" s="11">
        <f t="shared" si="20"/>
        <v>441.49902877169734</v>
      </c>
      <c r="BK9" s="11">
        <f t="shared" ca="1" si="38"/>
        <v>2.6000000000000014</v>
      </c>
      <c r="BL9" s="11">
        <f t="shared" si="39"/>
        <v>11.42630166897186</v>
      </c>
      <c r="BM9" s="11">
        <f t="shared" si="40"/>
        <v>11.778302702673329</v>
      </c>
      <c r="BN9" s="28">
        <f t="shared" si="21"/>
        <v>23.8</v>
      </c>
      <c r="BO9" s="28">
        <f t="shared" si="22"/>
        <v>2.2335051614517092E-2</v>
      </c>
      <c r="BP9" s="28">
        <f t="shared" si="23"/>
        <v>2.7409203206040931E-2</v>
      </c>
    </row>
    <row r="10" spans="1:68">
      <c r="A10" s="1" t="s">
        <v>19</v>
      </c>
      <c r="B10" s="4">
        <v>43116.81</v>
      </c>
      <c r="C10" s="3">
        <f t="shared" si="2"/>
        <v>1</v>
      </c>
      <c r="D10" s="3">
        <f t="shared" si="10"/>
        <v>2</v>
      </c>
      <c r="E10" s="1">
        <f t="shared" si="11"/>
        <v>2020</v>
      </c>
      <c r="F10" s="3">
        <f t="shared" si="3"/>
        <v>58</v>
      </c>
      <c r="G10" s="3">
        <f t="shared" si="12"/>
        <v>6</v>
      </c>
      <c r="H10" s="4">
        <f t="shared" si="4"/>
        <v>197705.94527836356</v>
      </c>
      <c r="L10" s="25" t="str">
        <f t="shared" ca="1" si="5"/>
        <v/>
      </c>
      <c r="M10" s="4">
        <f t="shared" si="6"/>
        <v>197705.94527836356</v>
      </c>
      <c r="N10" s="5">
        <v>0</v>
      </c>
      <c r="O10" s="6">
        <f t="shared" si="7"/>
        <v>2.87E-2</v>
      </c>
      <c r="P10" s="4">
        <f t="shared" si="0"/>
        <v>472.84671912408618</v>
      </c>
      <c r="Q10" s="7">
        <f t="shared" si="8"/>
        <v>934.95487455811565</v>
      </c>
      <c r="R10" s="4">
        <f t="shared" si="13"/>
        <v>462.10815543402947</v>
      </c>
      <c r="S10" s="4">
        <f t="shared" si="1"/>
        <v>197243.83712292954</v>
      </c>
      <c r="T10" s="4">
        <f t="shared" si="14"/>
        <v>0</v>
      </c>
      <c r="U10" s="4">
        <f t="shared" si="9"/>
        <v>197243.83712292954</v>
      </c>
      <c r="W10" s="26">
        <f t="shared" si="15"/>
        <v>0</v>
      </c>
      <c r="X10" s="27">
        <f t="shared" si="16"/>
        <v>0</v>
      </c>
      <c r="Y10" s="154" t="s">
        <v>106</v>
      </c>
      <c r="Z10" s="155"/>
      <c r="AA10" s="155"/>
      <c r="AB10" s="15">
        <f>Loan!F7</f>
        <v>0.02</v>
      </c>
      <c r="AE10" s="91" t="str">
        <f t="shared" ref="AE10:AE73" ca="1" si="50">IF(AG10=TODAY(),"today",IF(AG10=TODAY()-1,"last available",""))</f>
        <v/>
      </c>
      <c r="AF10" s="70">
        <f t="shared" si="41"/>
        <v>44760</v>
      </c>
      <c r="AG10" s="10">
        <f>AG9+3</f>
        <v>44760</v>
      </c>
      <c r="AH10" s="29">
        <v>4.6999999999999999E-4</v>
      </c>
      <c r="AI10" s="87" t="str">
        <f t="shared" ca="1" si="24"/>
        <v/>
      </c>
      <c r="AJ10" s="76">
        <f t="shared" ca="1" si="25"/>
        <v>4.7</v>
      </c>
      <c r="AK10" s="76">
        <f t="shared" ca="1" si="42"/>
        <v>-2.5</v>
      </c>
      <c r="AL10" s="76"/>
      <c r="AM10" s="11">
        <f t="shared" si="26"/>
        <v>4.7</v>
      </c>
      <c r="AN10" s="11">
        <f t="shared" si="27"/>
        <v>513.83034946639054</v>
      </c>
      <c r="AO10" s="11">
        <f t="shared" si="28"/>
        <v>2.2442619936794017</v>
      </c>
      <c r="AP10" s="12">
        <f t="shared" si="29"/>
        <v>4.3868706531217279E-3</v>
      </c>
      <c r="AQ10" s="11">
        <f t="shared" si="30"/>
        <v>432.03161894163065</v>
      </c>
      <c r="AR10" s="11">
        <f t="shared" si="31"/>
        <v>2.3108928726066438</v>
      </c>
      <c r="AS10" s="12">
        <f t="shared" si="32"/>
        <v>5.3776621242966434E-3</v>
      </c>
      <c r="AT10" s="11">
        <f t="shared" si="33"/>
        <v>378.02641741074245</v>
      </c>
      <c r="AU10" s="11">
        <f t="shared" si="34"/>
        <v>2.3772936986223954</v>
      </c>
      <c r="AV10" s="12">
        <f t="shared" si="35"/>
        <v>6.3284952594332214E-3</v>
      </c>
      <c r="AW10" s="10">
        <f t="shared" si="36"/>
        <v>44760</v>
      </c>
      <c r="AX10" s="76">
        <f t="shared" si="43"/>
        <v>99975.15171631136</v>
      </c>
      <c r="AY10" s="75">
        <f t="shared" si="44"/>
        <v>14.194432366940635</v>
      </c>
      <c r="AZ10" s="75">
        <f t="shared" si="37"/>
        <v>5.9355110621711438</v>
      </c>
      <c r="BA10" s="75">
        <f t="shared" si="45"/>
        <v>8.2589213047694905</v>
      </c>
      <c r="BB10" s="75">
        <f t="shared" si="46"/>
        <v>99966.892795006584</v>
      </c>
      <c r="BC10" s="12"/>
      <c r="BD10" s="82">
        <f t="shared" si="47"/>
        <v>6</v>
      </c>
      <c r="BE10" s="83">
        <f t="shared" si="48"/>
        <v>1.5000000000000001E-2</v>
      </c>
      <c r="BF10" s="10">
        <f t="shared" si="49"/>
        <v>44776</v>
      </c>
      <c r="BG10" s="11" t="s">
        <v>49</v>
      </c>
      <c r="BH10" s="11">
        <f t="shared" ca="1" si="18"/>
        <v>-0.80000000000000071</v>
      </c>
      <c r="BI10" s="11">
        <f t="shared" si="19"/>
        <v>523.68930998484325</v>
      </c>
      <c r="BJ10" s="11">
        <f t="shared" si="20"/>
        <v>442.19778264019783</v>
      </c>
      <c r="BK10" s="11">
        <f t="shared" ca="1" si="38"/>
        <v>-0.80000000000000071</v>
      </c>
      <c r="BL10" s="11">
        <f t="shared" si="39"/>
        <v>12.103222512132106</v>
      </c>
      <c r="BM10" s="11">
        <f t="shared" si="40"/>
        <v>12.477056571173819</v>
      </c>
      <c r="BN10" s="28">
        <f t="shared" si="21"/>
        <v>25.2</v>
      </c>
      <c r="BO10" s="28">
        <f t="shared" si="22"/>
        <v>2.3658232325908808E-2</v>
      </c>
      <c r="BP10" s="28">
        <f t="shared" si="23"/>
        <v>2.9035268289967674E-2</v>
      </c>
    </row>
    <row r="11" spans="1:68">
      <c r="B11" s="4"/>
      <c r="C11" s="3">
        <f t="shared" si="2"/>
        <v>1</v>
      </c>
      <c r="D11" s="3">
        <f t="shared" si="10"/>
        <v>3</v>
      </c>
      <c r="E11" s="1">
        <f t="shared" si="11"/>
        <v>2020</v>
      </c>
      <c r="F11" s="3">
        <f t="shared" si="3"/>
        <v>58</v>
      </c>
      <c r="G11" s="3">
        <f t="shared" si="12"/>
        <v>7</v>
      </c>
      <c r="H11" s="4">
        <f t="shared" si="4"/>
        <v>197243.83712292954</v>
      </c>
      <c r="L11" s="25" t="str">
        <f t="shared" ca="1" si="5"/>
        <v/>
      </c>
      <c r="M11" s="4">
        <f t="shared" si="6"/>
        <v>197243.83712292954</v>
      </c>
      <c r="N11" s="5">
        <v>0</v>
      </c>
      <c r="O11" s="6">
        <f t="shared" si="7"/>
        <v>2.87E-2</v>
      </c>
      <c r="P11" s="4">
        <f t="shared" si="0"/>
        <v>471.74151045233981</v>
      </c>
      <c r="Q11" s="7">
        <f t="shared" si="8"/>
        <v>934.95487455811565</v>
      </c>
      <c r="R11" s="4">
        <f t="shared" si="13"/>
        <v>463.21336410577584</v>
      </c>
      <c r="S11" s="4">
        <f t="shared" si="1"/>
        <v>196780.62375882376</v>
      </c>
      <c r="T11" s="4">
        <f t="shared" si="14"/>
        <v>0</v>
      </c>
      <c r="U11" s="4">
        <f t="shared" si="9"/>
        <v>196780.62375882376</v>
      </c>
      <c r="W11" s="26">
        <f t="shared" si="15"/>
        <v>0</v>
      </c>
      <c r="X11" s="27">
        <f t="shared" si="16"/>
        <v>0</v>
      </c>
      <c r="Y11" s="153" t="s">
        <v>112</v>
      </c>
      <c r="Z11" s="153"/>
      <c r="AA11" s="153"/>
      <c r="AB11" s="44">
        <f>Loan!F10</f>
        <v>2.12E-2</v>
      </c>
      <c r="AE11" s="91" t="str">
        <f t="shared" ca="1" si="50"/>
        <v/>
      </c>
      <c r="AF11" s="70">
        <f t="shared" si="41"/>
        <v>44761</v>
      </c>
      <c r="AG11" s="10">
        <f>AG10+1</f>
        <v>44761</v>
      </c>
      <c r="AH11" s="29">
        <v>4.2000000000000002E-4</v>
      </c>
      <c r="AI11" s="87" t="str">
        <f t="shared" ca="1" si="24"/>
        <v/>
      </c>
      <c r="AJ11" s="76">
        <f t="shared" ca="1" si="25"/>
        <v>4.2</v>
      </c>
      <c r="AK11" s="76">
        <f t="shared" ca="1" si="42"/>
        <v>-0.5</v>
      </c>
      <c r="AL11" s="76"/>
      <c r="AM11" s="11">
        <f t="shared" si="26"/>
        <v>4.2</v>
      </c>
      <c r="AN11" s="11">
        <f t="shared" si="27"/>
        <v>513.59131261955008</v>
      </c>
      <c r="AO11" s="11">
        <f t="shared" si="28"/>
        <v>2.0052251468389386</v>
      </c>
      <c r="AP11" s="12">
        <f t="shared" si="29"/>
        <v>3.9196240788035514E-3</v>
      </c>
      <c r="AQ11" s="11">
        <f t="shared" si="30"/>
        <v>431.78542597784605</v>
      </c>
      <c r="AR11" s="11">
        <f t="shared" si="31"/>
        <v>2.0646999088220355</v>
      </c>
      <c r="AS11" s="12">
        <f t="shared" si="32"/>
        <v>4.8047482552433197E-3</v>
      </c>
      <c r="AT11" s="11">
        <f t="shared" si="33"/>
        <v>377.77309517742299</v>
      </c>
      <c r="AU11" s="11">
        <f t="shared" si="34"/>
        <v>2.1239714653029296</v>
      </c>
      <c r="AV11" s="12">
        <f t="shared" si="35"/>
        <v>5.6541366164097381E-3</v>
      </c>
      <c r="AW11" s="10">
        <f t="shared" si="36"/>
        <v>44761</v>
      </c>
      <c r="AX11" s="76">
        <f t="shared" si="43"/>
        <v>99966.892795006584</v>
      </c>
      <c r="AY11" s="75">
        <f t="shared" si="44"/>
        <v>14.182844642483886</v>
      </c>
      <c r="AZ11" s="75">
        <f t="shared" si="37"/>
        <v>5.9213266362412122</v>
      </c>
      <c r="BA11" s="75">
        <f t="shared" si="45"/>
        <v>8.2615180062426745</v>
      </c>
      <c r="BB11" s="75">
        <f t="shared" si="46"/>
        <v>99958.631277000342</v>
      </c>
      <c r="BC11" s="12"/>
      <c r="BD11" s="82">
        <f t="shared" si="47"/>
        <v>7</v>
      </c>
      <c r="BE11" s="83">
        <f t="shared" si="48"/>
        <v>1.7500000000000002E-2</v>
      </c>
      <c r="BF11" s="10">
        <f t="shared" si="49"/>
        <v>44783</v>
      </c>
      <c r="BG11" s="11" t="s">
        <v>50</v>
      </c>
      <c r="BH11" s="11">
        <f t="shared" ca="1" si="18"/>
        <v>0.39999999999999858</v>
      </c>
      <c r="BI11" s="11">
        <f t="shared" si="19"/>
        <v>527.22756491521136</v>
      </c>
      <c r="BJ11" s="11">
        <f t="shared" si="20"/>
        <v>445.85189394137905</v>
      </c>
      <c r="BK11" s="11">
        <f t="shared" ca="1" si="38"/>
        <v>0.39999999999999858</v>
      </c>
      <c r="BL11" s="11">
        <f t="shared" si="39"/>
        <v>15.641477442500218</v>
      </c>
      <c r="BM11" s="11">
        <f t="shared" si="40"/>
        <v>16.131167872355036</v>
      </c>
      <c r="BN11" s="28">
        <f t="shared" si="21"/>
        <v>32.5</v>
      </c>
      <c r="BO11" s="28">
        <f t="shared" si="22"/>
        <v>3.0574477737990793E-2</v>
      </c>
      <c r="BP11" s="28">
        <f t="shared" si="23"/>
        <v>3.7538724324327706E-2</v>
      </c>
    </row>
    <row r="12" spans="1:68">
      <c r="A12" s="21" t="s">
        <v>20</v>
      </c>
      <c r="B12" s="22">
        <f>B13+B14</f>
        <v>64020.090000000004</v>
      </c>
      <c r="C12" s="3">
        <f t="shared" si="2"/>
        <v>1</v>
      </c>
      <c r="D12" s="3">
        <f t="shared" si="10"/>
        <v>4</v>
      </c>
      <c r="E12" s="1">
        <f t="shared" si="11"/>
        <v>2020</v>
      </c>
      <c r="F12" s="3">
        <f t="shared" si="3"/>
        <v>58</v>
      </c>
      <c r="G12" s="3">
        <f t="shared" si="12"/>
        <v>8</v>
      </c>
      <c r="H12" s="4">
        <f t="shared" si="4"/>
        <v>196780.62375882376</v>
      </c>
      <c r="L12" s="25" t="str">
        <f t="shared" ca="1" si="5"/>
        <v/>
      </c>
      <c r="M12" s="4">
        <f t="shared" si="6"/>
        <v>196780.62375882376</v>
      </c>
      <c r="N12" s="5">
        <v>0</v>
      </c>
      <c r="O12" s="6">
        <f t="shared" si="7"/>
        <v>2.87E-2</v>
      </c>
      <c r="P12" s="4">
        <f t="shared" si="0"/>
        <v>470.63365848985353</v>
      </c>
      <c r="Q12" s="7">
        <f t="shared" si="8"/>
        <v>934.95487455811553</v>
      </c>
      <c r="R12" s="4">
        <f t="shared" si="13"/>
        <v>464.321216068262</v>
      </c>
      <c r="S12" s="4">
        <f t="shared" si="1"/>
        <v>196316.3025427555</v>
      </c>
      <c r="T12" s="4">
        <f t="shared" si="14"/>
        <v>0</v>
      </c>
      <c r="U12" s="4">
        <f t="shared" si="9"/>
        <v>196316.3025427555</v>
      </c>
      <c r="W12" s="26">
        <f t="shared" si="15"/>
        <v>0</v>
      </c>
      <c r="X12" s="27">
        <f t="shared" si="16"/>
        <v>0</v>
      </c>
      <c r="Y12" s="152" t="s">
        <v>107</v>
      </c>
      <c r="Z12" s="153"/>
      <c r="AA12" s="153"/>
      <c r="AB12" s="75">
        <f>AB8/((1-(1+AB11/12)^-(AB9*12))/(AB11/12))</f>
        <v>429.72072606902401</v>
      </c>
      <c r="AE12" s="91" t="str">
        <f t="shared" ca="1" si="50"/>
        <v/>
      </c>
      <c r="AF12" s="70">
        <f t="shared" si="41"/>
        <v>44762</v>
      </c>
      <c r="AG12" s="10">
        <f t="shared" ref="AG12:AG14" si="51">AG11+1</f>
        <v>44762</v>
      </c>
      <c r="AH12" s="29">
        <v>1.25E-3</v>
      </c>
      <c r="AI12" s="87" t="str">
        <f t="shared" ca="1" si="24"/>
        <v/>
      </c>
      <c r="AJ12" s="76">
        <f t="shared" ca="1" si="25"/>
        <v>12.5</v>
      </c>
      <c r="AK12" s="76">
        <f t="shared" ca="1" si="42"/>
        <v>8.3000000000000007</v>
      </c>
      <c r="AL12" s="76"/>
      <c r="AM12" s="11">
        <f t="shared" si="26"/>
        <v>12.5</v>
      </c>
      <c r="AN12" s="11">
        <f t="shared" si="27"/>
        <v>517.56812122674478</v>
      </c>
      <c r="AO12" s="11">
        <f t="shared" si="28"/>
        <v>5.9820337540336368</v>
      </c>
      <c r="AP12" s="12">
        <f t="shared" si="29"/>
        <v>1.1693112655947135E-2</v>
      </c>
      <c r="AQ12" s="11">
        <f t="shared" si="30"/>
        <v>435.88310801668405</v>
      </c>
      <c r="AR12" s="11">
        <f t="shared" si="31"/>
        <v>6.1623819476600374</v>
      </c>
      <c r="AS12" s="12">
        <f t="shared" si="32"/>
        <v>1.4340434551602716E-2</v>
      </c>
      <c r="AT12" s="11">
        <f t="shared" si="33"/>
        <v>381.99112911641163</v>
      </c>
      <c r="AU12" s="11">
        <f t="shared" si="34"/>
        <v>6.3420054042915694</v>
      </c>
      <c r="AV12" s="12">
        <f t="shared" si="35"/>
        <v>1.6882790359313567E-2</v>
      </c>
      <c r="AW12" s="10">
        <f t="shared" si="36"/>
        <v>44762</v>
      </c>
      <c r="AX12" s="76">
        <f t="shared" si="43"/>
        <v>99958.631277000342</v>
      </c>
      <c r="AY12" s="75">
        <f t="shared" si="44"/>
        <v>14.315993811377078</v>
      </c>
      <c r="AZ12" s="75">
        <f t="shared" si="37"/>
        <v>6.148140471694953</v>
      </c>
      <c r="BA12" s="75">
        <f t="shared" si="45"/>
        <v>8.1678533396821251</v>
      </c>
      <c r="BB12" s="75">
        <f t="shared" si="46"/>
        <v>99950.463423660665</v>
      </c>
      <c r="BC12" s="12"/>
      <c r="BD12" s="82">
        <f t="shared" si="47"/>
        <v>8</v>
      </c>
      <c r="BE12" s="83">
        <f t="shared" si="48"/>
        <v>0.02</v>
      </c>
      <c r="BF12" s="10">
        <f t="shared" si="49"/>
        <v>44790</v>
      </c>
      <c r="BG12" s="11" t="s">
        <v>51</v>
      </c>
      <c r="BH12" s="11">
        <f t="shared" ca="1" si="18"/>
        <v>1.8000000000000043</v>
      </c>
      <c r="BI12" s="11">
        <f t="shared" si="19"/>
        <v>528.49124660350026</v>
      </c>
      <c r="BJ12" s="11">
        <f t="shared" si="20"/>
        <v>447.15765292917746</v>
      </c>
      <c r="BK12" s="11">
        <f t="shared" ca="1" si="38"/>
        <v>1.8000000000000043</v>
      </c>
      <c r="BL12" s="11">
        <f t="shared" si="39"/>
        <v>16.905159130789116</v>
      </c>
      <c r="BM12" s="11">
        <f t="shared" si="40"/>
        <v>17.436926860153449</v>
      </c>
      <c r="BN12" s="28">
        <f t="shared" si="21"/>
        <v>35.1</v>
      </c>
      <c r="BO12" s="28">
        <f t="shared" si="22"/>
        <v>3.3044602941222218E-2</v>
      </c>
      <c r="BP12" s="28">
        <f t="shared" si="23"/>
        <v>4.0577346640135382E-2</v>
      </c>
    </row>
    <row r="13" spans="1:68">
      <c r="A13" s="1" t="s">
        <v>18</v>
      </c>
      <c r="B13" s="4">
        <v>52898.97</v>
      </c>
      <c r="C13" s="3">
        <f t="shared" si="2"/>
        <v>1</v>
      </c>
      <c r="D13" s="3">
        <f t="shared" si="10"/>
        <v>5</v>
      </c>
      <c r="E13" s="1">
        <f t="shared" si="11"/>
        <v>2020</v>
      </c>
      <c r="F13" s="3">
        <f t="shared" si="3"/>
        <v>58</v>
      </c>
      <c r="G13" s="3">
        <f t="shared" si="12"/>
        <v>9</v>
      </c>
      <c r="H13" s="4">
        <f t="shared" si="4"/>
        <v>196316.3025427555</v>
      </c>
      <c r="L13" s="25" t="str">
        <f t="shared" ca="1" si="5"/>
        <v/>
      </c>
      <c r="M13" s="4">
        <f t="shared" si="6"/>
        <v>196316.3025427555</v>
      </c>
      <c r="N13" s="5">
        <v>0</v>
      </c>
      <c r="O13" s="6">
        <f t="shared" si="7"/>
        <v>2.87E-2</v>
      </c>
      <c r="P13" s="4">
        <f t="shared" si="0"/>
        <v>469.52315691475684</v>
      </c>
      <c r="Q13" s="7">
        <f t="shared" si="8"/>
        <v>934.95487455811553</v>
      </c>
      <c r="R13" s="4">
        <f t="shared" si="13"/>
        <v>465.4317176433587</v>
      </c>
      <c r="S13" s="4">
        <f t="shared" si="1"/>
        <v>195850.87082511213</v>
      </c>
      <c r="T13" s="4">
        <f t="shared" si="14"/>
        <v>0</v>
      </c>
      <c r="U13" s="4">
        <f t="shared" si="9"/>
        <v>195850.87082511213</v>
      </c>
      <c r="W13" s="26">
        <f t="shared" si="15"/>
        <v>0</v>
      </c>
      <c r="X13" s="27">
        <f t="shared" si="16"/>
        <v>0</v>
      </c>
      <c r="Y13" s="152" t="s">
        <v>108</v>
      </c>
      <c r="Z13" s="153"/>
      <c r="AA13" s="153"/>
      <c r="AB13" s="13">
        <f>Loan!F14</f>
        <v>45107</v>
      </c>
      <c r="AE13" s="91" t="str">
        <f t="shared" ca="1" si="50"/>
        <v/>
      </c>
      <c r="AF13" s="70">
        <f t="shared" si="41"/>
        <v>44763</v>
      </c>
      <c r="AG13" s="10">
        <f t="shared" si="51"/>
        <v>44763</v>
      </c>
      <c r="AH13" s="29">
        <v>1.4499999999999999E-3</v>
      </c>
      <c r="AI13" s="87" t="str">
        <f t="shared" ca="1" si="24"/>
        <v/>
      </c>
      <c r="AJ13" s="76">
        <f t="shared" ca="1" si="25"/>
        <v>14.499999999999998</v>
      </c>
      <c r="AK13" s="76">
        <f t="shared" ca="1" si="42"/>
        <v>1.9999999999999982</v>
      </c>
      <c r="AL13" s="76"/>
      <c r="AM13" s="11">
        <f t="shared" si="26"/>
        <v>14.499999999999998</v>
      </c>
      <c r="AN13" s="11">
        <f t="shared" si="27"/>
        <v>518.52918579450341</v>
      </c>
      <c r="AO13" s="11">
        <f t="shared" si="28"/>
        <v>6.9430983217922631</v>
      </c>
      <c r="AP13" s="12">
        <f t="shared" si="29"/>
        <v>1.3571710591450788E-2</v>
      </c>
      <c r="AQ13" s="11">
        <f t="shared" si="30"/>
        <v>436.87395964469511</v>
      </c>
      <c r="AR13" s="11">
        <f t="shared" si="31"/>
        <v>7.153233575671095</v>
      </c>
      <c r="AS13" s="12">
        <f t="shared" si="32"/>
        <v>1.6646238223385356E-2</v>
      </c>
      <c r="AT13" s="11">
        <f t="shared" si="33"/>
        <v>383.01161731611893</v>
      </c>
      <c r="AU13" s="11">
        <f t="shared" si="34"/>
        <v>7.3624936039988711</v>
      </c>
      <c r="AV13" s="12">
        <f t="shared" si="35"/>
        <v>1.9599389800896067E-2</v>
      </c>
      <c r="AW13" s="10">
        <f t="shared" si="36"/>
        <v>44763</v>
      </c>
      <c r="AX13" s="76">
        <f t="shared" si="43"/>
        <v>99950.463423660665</v>
      </c>
      <c r="AY13" s="75">
        <f t="shared" si="44"/>
        <v>14.347301877966574</v>
      </c>
      <c r="AZ13" s="75">
        <f t="shared" si="37"/>
        <v>6.2024054699888049</v>
      </c>
      <c r="BA13" s="75">
        <f t="shared" si="45"/>
        <v>8.1448964079777681</v>
      </c>
      <c r="BB13" s="75">
        <f t="shared" si="46"/>
        <v>99942.31852725269</v>
      </c>
      <c r="BC13" s="12"/>
      <c r="BD13" s="82">
        <f t="shared" si="47"/>
        <v>9</v>
      </c>
      <c r="BE13" s="83">
        <f t="shared" si="48"/>
        <v>2.2499999999999999E-2</v>
      </c>
      <c r="BF13" s="10">
        <f t="shared" si="49"/>
        <v>44797</v>
      </c>
      <c r="BG13" s="11" t="s">
        <v>52</v>
      </c>
      <c r="BH13" s="11">
        <f t="shared" ca="1" si="18"/>
        <v>2.5</v>
      </c>
      <c r="BI13" s="11">
        <f t="shared" si="19"/>
        <v>535.42510357183505</v>
      </c>
      <c r="BJ13" s="11">
        <f t="shared" si="20"/>
        <v>454.32880756311528</v>
      </c>
      <c r="BK13" s="11">
        <f t="shared" ca="1" si="38"/>
        <v>2.5</v>
      </c>
      <c r="BL13" s="11">
        <f t="shared" si="39"/>
        <v>23.83901609912391</v>
      </c>
      <c r="BM13" s="11">
        <f t="shared" si="40"/>
        <v>24.608081494091266</v>
      </c>
      <c r="BN13" s="28">
        <f t="shared" si="21"/>
        <v>49.300000000000004</v>
      </c>
      <c r="BO13" s="28">
        <f t="shared" si="22"/>
        <v>4.6598249410751469E-2</v>
      </c>
      <c r="BP13" s="28">
        <f t="shared" si="23"/>
        <v>5.726528882886274E-2</v>
      </c>
    </row>
    <row r="14" spans="1:68">
      <c r="A14" s="1" t="s">
        <v>19</v>
      </c>
      <c r="B14" s="4">
        <v>11121.12</v>
      </c>
      <c r="C14" s="3">
        <f t="shared" si="2"/>
        <v>1</v>
      </c>
      <c r="D14" s="3">
        <f t="shared" si="10"/>
        <v>6</v>
      </c>
      <c r="E14" s="1">
        <f t="shared" si="11"/>
        <v>2020</v>
      </c>
      <c r="F14" s="3">
        <f t="shared" si="3"/>
        <v>58</v>
      </c>
      <c r="G14" s="3">
        <f t="shared" si="12"/>
        <v>10</v>
      </c>
      <c r="H14" s="4">
        <f t="shared" si="4"/>
        <v>195850.87082511213</v>
      </c>
      <c r="L14" s="25" t="str">
        <f t="shared" ca="1" si="5"/>
        <v/>
      </c>
      <c r="M14" s="4">
        <f t="shared" si="6"/>
        <v>195850.87082511213</v>
      </c>
      <c r="N14" s="5">
        <v>0</v>
      </c>
      <c r="O14" s="6">
        <f t="shared" si="7"/>
        <v>2.87E-2</v>
      </c>
      <c r="P14" s="4">
        <f t="shared" si="0"/>
        <v>468.4099993900598</v>
      </c>
      <c r="Q14" s="7">
        <f t="shared" si="8"/>
        <v>934.95487455811553</v>
      </c>
      <c r="R14" s="4">
        <f t="shared" si="13"/>
        <v>466.54487516805574</v>
      </c>
      <c r="S14" s="4">
        <f t="shared" si="1"/>
        <v>195384.32594994406</v>
      </c>
      <c r="T14" s="4">
        <f t="shared" si="14"/>
        <v>0</v>
      </c>
      <c r="U14" s="4">
        <f t="shared" si="9"/>
        <v>195384.32594994406</v>
      </c>
      <c r="W14" s="26">
        <f t="shared" si="15"/>
        <v>0</v>
      </c>
      <c r="X14" s="27">
        <f t="shared" si="16"/>
        <v>0</v>
      </c>
      <c r="Y14" s="153" t="s">
        <v>114</v>
      </c>
      <c r="Z14" s="153"/>
      <c r="AA14" s="153"/>
      <c r="AB14" s="15">
        <f>Loan!F15</f>
        <v>2.7499999999999997E-2</v>
      </c>
      <c r="AE14" s="91" t="str">
        <f t="shared" ca="1" si="50"/>
        <v/>
      </c>
      <c r="AF14" s="70">
        <f t="shared" si="41"/>
        <v>44764</v>
      </c>
      <c r="AG14" s="10">
        <f t="shared" si="51"/>
        <v>44764</v>
      </c>
      <c r="AH14" s="29">
        <v>2E-3</v>
      </c>
      <c r="AI14" s="87" t="str">
        <f t="shared" ca="1" si="24"/>
        <v/>
      </c>
      <c r="AJ14" s="76">
        <f t="shared" ca="1" si="25"/>
        <v>20</v>
      </c>
      <c r="AK14" s="76">
        <f t="shared" ca="1" si="42"/>
        <v>5.5000000000000018</v>
      </c>
      <c r="AL14" s="76"/>
      <c r="AM14" s="11">
        <f t="shared" si="26"/>
        <v>20</v>
      </c>
      <c r="AN14" s="11">
        <f t="shared" si="27"/>
        <v>521.1777093769133</v>
      </c>
      <c r="AO14" s="11">
        <f t="shared" si="28"/>
        <v>9.5916219042021567</v>
      </c>
      <c r="AP14" s="12">
        <f t="shared" si="29"/>
        <v>1.8748793485737218E-2</v>
      </c>
      <c r="AQ14" s="11">
        <f t="shared" si="30"/>
        <v>439.60571614061655</v>
      </c>
      <c r="AR14" s="11">
        <f t="shared" si="31"/>
        <v>9.8849900715925401</v>
      </c>
      <c r="AS14" s="12">
        <f t="shared" si="32"/>
        <v>2.3003289047791382E-2</v>
      </c>
      <c r="AT14" s="11">
        <f t="shared" si="33"/>
        <v>385.82614096679185</v>
      </c>
      <c r="AU14" s="11">
        <f t="shared" si="34"/>
        <v>10.177017254671796</v>
      </c>
      <c r="AV14" s="12">
        <f t="shared" si="35"/>
        <v>2.7091816837222244E-2</v>
      </c>
      <c r="AW14" s="10">
        <f t="shared" si="36"/>
        <v>44764</v>
      </c>
      <c r="AX14" s="76">
        <f t="shared" si="43"/>
        <v>99942.31852725269</v>
      </c>
      <c r="AY14" s="75">
        <f t="shared" si="44"/>
        <v>14.435667349249167</v>
      </c>
      <c r="AZ14" s="75">
        <f t="shared" si="37"/>
        <v>6.3524980543349656</v>
      </c>
      <c r="BA14" s="75">
        <f t="shared" si="45"/>
        <v>8.0831692949142013</v>
      </c>
      <c r="BB14" s="75">
        <f t="shared" si="46"/>
        <v>99934.235357957776</v>
      </c>
      <c r="BC14" s="12"/>
      <c r="BD14" s="82">
        <f t="shared" si="47"/>
        <v>10</v>
      </c>
      <c r="BE14" s="83">
        <f t="shared" si="48"/>
        <v>2.4999999999999998E-2</v>
      </c>
      <c r="BF14" s="10">
        <f>BF13+7</f>
        <v>44804</v>
      </c>
      <c r="BG14" s="11" t="s">
        <v>53</v>
      </c>
      <c r="BH14" s="11">
        <f t="shared" ca="1" si="18"/>
        <v>3.3999999999999915</v>
      </c>
      <c r="BI14" s="11">
        <f t="shared" si="19"/>
        <v>543.35244146131174</v>
      </c>
      <c r="BJ14" s="11">
        <f t="shared" si="20"/>
        <v>462.54037471057717</v>
      </c>
      <c r="BK14" s="11">
        <f t="shared" ca="1" si="38"/>
        <v>3.3999999999999915</v>
      </c>
      <c r="BL14" s="11">
        <f t="shared" si="39"/>
        <v>31.766353988600599</v>
      </c>
      <c r="BM14" s="11">
        <f t="shared" si="40"/>
        <v>32.819648641553158</v>
      </c>
      <c r="BN14" s="28">
        <f t="shared" si="21"/>
        <v>65.399999999999991</v>
      </c>
      <c r="BO14" s="28">
        <f t="shared" si="22"/>
        <v>6.209385823123087E-2</v>
      </c>
      <c r="BP14" s="28">
        <f t="shared" si="23"/>
        <v>7.6374367468329873E-2</v>
      </c>
    </row>
    <row r="15" spans="1:68">
      <c r="C15" s="3">
        <f t="shared" si="2"/>
        <v>1</v>
      </c>
      <c r="D15" s="3">
        <f t="shared" si="10"/>
        <v>7</v>
      </c>
      <c r="E15" s="1">
        <f t="shared" si="11"/>
        <v>2020</v>
      </c>
      <c r="F15" s="3">
        <f t="shared" si="3"/>
        <v>58</v>
      </c>
      <c r="G15" s="3">
        <f t="shared" si="12"/>
        <v>11</v>
      </c>
      <c r="H15" s="4">
        <f t="shared" si="4"/>
        <v>195384.32594994406</v>
      </c>
      <c r="L15" s="25" t="str">
        <f t="shared" ca="1" si="5"/>
        <v/>
      </c>
      <c r="M15" s="4">
        <f t="shared" si="6"/>
        <v>195384.32594994406</v>
      </c>
      <c r="N15" s="5">
        <v>0</v>
      </c>
      <c r="O15" s="6">
        <f t="shared" si="7"/>
        <v>2.87E-2</v>
      </c>
      <c r="P15" s="4">
        <f t="shared" si="0"/>
        <v>467.29417956361618</v>
      </c>
      <c r="Q15" s="7">
        <f t="shared" si="8"/>
        <v>934.95487455811508</v>
      </c>
      <c r="R15" s="4">
        <f t="shared" si="13"/>
        <v>467.6606949944989</v>
      </c>
      <c r="S15" s="4">
        <f t="shared" si="1"/>
        <v>194916.66525494956</v>
      </c>
      <c r="T15" s="4">
        <f t="shared" si="14"/>
        <v>0</v>
      </c>
      <c r="U15" s="4">
        <f t="shared" si="9"/>
        <v>194916.66525494956</v>
      </c>
      <c r="W15" s="26">
        <f t="shared" si="15"/>
        <v>0</v>
      </c>
      <c r="X15" s="27">
        <f t="shared" si="16"/>
        <v>0</v>
      </c>
      <c r="Y15" s="153" t="s">
        <v>113</v>
      </c>
      <c r="Z15" s="153"/>
      <c r="AA15" s="153"/>
      <c r="AB15" s="44">
        <f>Loan!F17</f>
        <v>4.87E-2</v>
      </c>
      <c r="AE15" s="91" t="str">
        <f t="shared" ca="1" si="50"/>
        <v/>
      </c>
      <c r="AF15" s="70">
        <f t="shared" si="41"/>
        <v>44767</v>
      </c>
      <c r="AG15" s="10">
        <f>AG14+3</f>
        <v>44767</v>
      </c>
      <c r="AH15" s="29">
        <v>2.33E-3</v>
      </c>
      <c r="AI15" s="87" t="str">
        <f t="shared" ca="1" si="24"/>
        <v/>
      </c>
      <c r="AJ15" s="76">
        <f t="shared" ca="1" si="25"/>
        <v>23.3</v>
      </c>
      <c r="AK15" s="76">
        <f t="shared" ca="1" si="42"/>
        <v>3.3000000000000007</v>
      </c>
      <c r="AL15" s="76">
        <f t="shared" ref="AL15:AL55" ca="1" si="52">IF(AG15&gt;TODAY(),"",(AJ15-AJ9)/7)</f>
        <v>2.3000000000000003</v>
      </c>
      <c r="AM15" s="11">
        <f t="shared" si="26"/>
        <v>23.3</v>
      </c>
      <c r="AN15" s="11">
        <f t="shared" si="27"/>
        <v>522.77076036222604</v>
      </c>
      <c r="AO15" s="11">
        <f t="shared" si="28"/>
        <v>11.1846728895149</v>
      </c>
      <c r="AP15" s="12">
        <f t="shared" si="29"/>
        <v>2.1862738575961587E-2</v>
      </c>
      <c r="AQ15" s="11">
        <f t="shared" si="30"/>
        <v>441.24963266038407</v>
      </c>
      <c r="AR15" s="11">
        <f t="shared" si="31"/>
        <v>11.528906591360055</v>
      </c>
      <c r="AS15" s="12">
        <f t="shared" si="32"/>
        <v>2.6828835315493304E-2</v>
      </c>
      <c r="AT15" s="11">
        <f t="shared" si="33"/>
        <v>387.52060593353627</v>
      </c>
      <c r="AU15" s="11">
        <f t="shared" si="34"/>
        <v>11.871482221416215</v>
      </c>
      <c r="AV15" s="12">
        <f t="shared" si="35"/>
        <v>3.1602581962932953E-2</v>
      </c>
      <c r="AW15" s="10">
        <f t="shared" si="36"/>
        <v>44767</v>
      </c>
      <c r="AX15" s="76">
        <f t="shared" si="43"/>
        <v>99934.235357957776</v>
      </c>
      <c r="AY15" s="75">
        <f t="shared" si="44"/>
        <v>14.490709896284176</v>
      </c>
      <c r="AZ15" s="75">
        <f t="shared" si="37"/>
        <v>6.4423357752677983</v>
      </c>
      <c r="BA15" s="75">
        <f t="shared" si="45"/>
        <v>8.0483741210163782</v>
      </c>
      <c r="BB15" s="75">
        <f t="shared" si="46"/>
        <v>99926.186983836757</v>
      </c>
      <c r="BC15" s="12"/>
      <c r="BD15" s="82">
        <f t="shared" si="47"/>
        <v>11</v>
      </c>
      <c r="BE15" s="83">
        <f t="shared" si="48"/>
        <v>2.7499999999999997E-2</v>
      </c>
      <c r="BF15" s="10">
        <f t="shared" si="49"/>
        <v>44811</v>
      </c>
      <c r="BG15" s="11" t="s">
        <v>54</v>
      </c>
      <c r="BH15" s="11">
        <f t="shared" ca="1" si="18"/>
        <v>0.59999999999999432</v>
      </c>
      <c r="BI15" s="11">
        <f t="shared" si="19"/>
        <v>551.69863397963786</v>
      </c>
      <c r="BJ15" s="11">
        <f t="shared" si="20"/>
        <v>471.20012199608078</v>
      </c>
      <c r="BK15" s="11">
        <f t="shared" ca="1" si="38"/>
        <v>0.59999999999999432</v>
      </c>
      <c r="BL15" s="11">
        <f t="shared" si="39"/>
        <v>40.112546506926719</v>
      </c>
      <c r="BM15" s="11">
        <f t="shared" si="40"/>
        <v>41.479395927056771</v>
      </c>
      <c r="BN15" s="28">
        <f t="shared" si="21"/>
        <v>82.2</v>
      </c>
      <c r="BO15" s="28">
        <f t="shared" si="22"/>
        <v>7.8408204384694868E-2</v>
      </c>
      <c r="BP15" s="28">
        <f t="shared" si="23"/>
        <v>9.6526402872162451E-2</v>
      </c>
    </row>
    <row r="16" spans="1:68">
      <c r="A16" s="21" t="s">
        <v>21</v>
      </c>
      <c r="B16" s="22">
        <f>B8+B12</f>
        <v>291972.63</v>
      </c>
      <c r="C16" s="3">
        <f t="shared" si="2"/>
        <v>1</v>
      </c>
      <c r="D16" s="3">
        <f t="shared" si="10"/>
        <v>8</v>
      </c>
      <c r="E16" s="1">
        <f t="shared" si="11"/>
        <v>2020</v>
      </c>
      <c r="F16" s="3">
        <f t="shared" si="3"/>
        <v>58</v>
      </c>
      <c r="G16" s="3">
        <f t="shared" si="12"/>
        <v>12</v>
      </c>
      <c r="H16" s="4">
        <f t="shared" si="4"/>
        <v>194916.66525494956</v>
      </c>
      <c r="L16" s="25" t="str">
        <f t="shared" ca="1" si="5"/>
        <v/>
      </c>
      <c r="M16" s="4">
        <f t="shared" si="6"/>
        <v>194916.66525494956</v>
      </c>
      <c r="N16" s="5">
        <v>0</v>
      </c>
      <c r="O16" s="6">
        <f t="shared" si="7"/>
        <v>2.87E-2</v>
      </c>
      <c r="P16" s="4">
        <f t="shared" si="0"/>
        <v>466.1756910680877</v>
      </c>
      <c r="Q16" s="7">
        <f t="shared" si="8"/>
        <v>934.95487455811531</v>
      </c>
      <c r="R16" s="4">
        <f t="shared" si="13"/>
        <v>468.77918349002761</v>
      </c>
      <c r="S16" s="4">
        <f t="shared" si="1"/>
        <v>194447.88607145954</v>
      </c>
      <c r="T16" s="4">
        <f t="shared" si="14"/>
        <v>0</v>
      </c>
      <c r="U16" s="4">
        <f t="shared" si="9"/>
        <v>194447.88607145954</v>
      </c>
      <c r="W16" s="26">
        <f t="shared" si="15"/>
        <v>0</v>
      </c>
      <c r="X16" s="27">
        <f t="shared" si="16"/>
        <v>0</v>
      </c>
      <c r="Y16" s="73" t="s">
        <v>109</v>
      </c>
      <c r="Z16" s="72"/>
      <c r="AA16" s="72"/>
      <c r="AB16" s="75">
        <f>AB8/((1-(1+AB15/12)^-(AB9*12))/(AB15/12))</f>
        <v>577.04098128767782</v>
      </c>
      <c r="AC16" s="75">
        <f ca="1">AC8/((1-(1+AB15/12)^-(AB9*12-(AB13-AW7)/30))/(AB15/12))</f>
        <v>579.33526428920015</v>
      </c>
      <c r="AE16" s="91" t="str">
        <f t="shared" ca="1" si="50"/>
        <v/>
      </c>
      <c r="AF16" s="70">
        <f t="shared" si="41"/>
        <v>44768</v>
      </c>
      <c r="AG16" s="10">
        <f>AG15+1</f>
        <v>44768</v>
      </c>
      <c r="AH16" s="29">
        <v>2.1199999999999999E-3</v>
      </c>
      <c r="AI16" s="87" t="str">
        <f t="shared" ca="1" si="24"/>
        <v/>
      </c>
      <c r="AJ16" s="76">
        <f t="shared" ca="1" si="25"/>
        <v>21.2</v>
      </c>
      <c r="AK16" s="76">
        <f t="shared" ca="1" si="42"/>
        <v>-2.1000000000000014</v>
      </c>
      <c r="AL16" s="76">
        <f t="shared" ca="1" si="52"/>
        <v>2.3571428571428572</v>
      </c>
      <c r="AM16" s="11">
        <f t="shared" si="26"/>
        <v>21.2</v>
      </c>
      <c r="AN16" s="11">
        <f t="shared" si="27"/>
        <v>521.75665916800267</v>
      </c>
      <c r="AO16" s="11">
        <f t="shared" si="28"/>
        <v>10.170571695291528</v>
      </c>
      <c r="AP16" s="12">
        <f t="shared" si="29"/>
        <v>1.988046966940641E-2</v>
      </c>
      <c r="AQ16" s="11">
        <f t="shared" si="30"/>
        <v>440.20308228508645</v>
      </c>
      <c r="AR16" s="11">
        <f t="shared" si="31"/>
        <v>10.482356216062442</v>
      </c>
      <c r="AS16" s="12">
        <f t="shared" si="32"/>
        <v>2.4393415490922145E-2</v>
      </c>
      <c r="AT16" s="11">
        <f t="shared" si="33"/>
        <v>386.44181148445449</v>
      </c>
      <c r="AU16" s="11">
        <f t="shared" si="34"/>
        <v>10.792687772334432</v>
      </c>
      <c r="AV16" s="12">
        <f t="shared" si="35"/>
        <v>2.8730767865721003E-2</v>
      </c>
      <c r="AW16" s="10">
        <f t="shared" si="36"/>
        <v>44768</v>
      </c>
      <c r="AX16" s="76">
        <f t="shared" si="43"/>
        <v>99926.186983836757</v>
      </c>
      <c r="AY16" s="75">
        <f t="shared" si="44"/>
        <v>14.452913337001215</v>
      </c>
      <c r="AZ16" s="75">
        <f t="shared" si="37"/>
        <v>6.3843251519536253</v>
      </c>
      <c r="BA16" s="75">
        <f t="shared" si="45"/>
        <v>8.0685881850475898</v>
      </c>
      <c r="BB16" s="75">
        <f t="shared" si="46"/>
        <v>99918.118395651705</v>
      </c>
      <c r="BC16" s="12"/>
      <c r="BD16" s="82">
        <f t="shared" si="47"/>
        <v>12</v>
      </c>
      <c r="BE16" s="83">
        <f t="shared" si="48"/>
        <v>2.9999999999999995E-2</v>
      </c>
      <c r="BF16" s="10">
        <f>BF15+7</f>
        <v>44818</v>
      </c>
      <c r="BG16" s="11" t="s">
        <v>55</v>
      </c>
      <c r="BH16" s="11">
        <f t="shared" ca="1" si="18"/>
        <v>1.2999999999999972</v>
      </c>
      <c r="BI16" s="11">
        <f t="shared" si="19"/>
        <v>561.2791142049781</v>
      </c>
      <c r="BJ16" s="11">
        <f t="shared" si="20"/>
        <v>481.15780013144268</v>
      </c>
      <c r="BK16" s="11">
        <f t="shared" ca="1" si="38"/>
        <v>1.2999999999999972</v>
      </c>
      <c r="BL16" s="11">
        <f t="shared" si="39"/>
        <v>49.693026732266958</v>
      </c>
      <c r="BM16" s="11">
        <f t="shared" si="40"/>
        <v>51.437074062418674</v>
      </c>
      <c r="BN16" s="28">
        <f t="shared" si="21"/>
        <v>101.3</v>
      </c>
      <c r="BO16" s="28">
        <f t="shared" si="22"/>
        <v>9.7135219172506657E-2</v>
      </c>
      <c r="BP16" s="28">
        <f t="shared" si="23"/>
        <v>0.11969884378850412</v>
      </c>
    </row>
    <row r="17" spans="1:68">
      <c r="A17" s="1" t="s">
        <v>18</v>
      </c>
      <c r="B17" s="4">
        <f>B9+B13</f>
        <v>237734.7</v>
      </c>
      <c r="C17" s="3">
        <f t="shared" si="2"/>
        <v>2</v>
      </c>
      <c r="D17" s="3">
        <f t="shared" si="10"/>
        <v>9</v>
      </c>
      <c r="E17" s="1">
        <f t="shared" si="11"/>
        <v>2020</v>
      </c>
      <c r="F17" s="3">
        <f t="shared" si="3"/>
        <v>58</v>
      </c>
      <c r="G17" s="3">
        <f t="shared" si="12"/>
        <v>13</v>
      </c>
      <c r="H17" s="4">
        <f t="shared" si="4"/>
        <v>194447.88607145954</v>
      </c>
      <c r="L17" s="25" t="str">
        <f t="shared" ca="1" si="5"/>
        <v/>
      </c>
      <c r="M17" s="4">
        <f t="shared" si="6"/>
        <v>194447.88607145954</v>
      </c>
      <c r="N17" s="5">
        <v>0</v>
      </c>
      <c r="O17" s="6">
        <f t="shared" si="7"/>
        <v>2.87E-2</v>
      </c>
      <c r="P17" s="4">
        <f t="shared" si="0"/>
        <v>465.05452752090741</v>
      </c>
      <c r="Q17" s="7">
        <f t="shared" si="8"/>
        <v>934.95487455811519</v>
      </c>
      <c r="R17" s="4">
        <f t="shared" si="13"/>
        <v>469.90034703720778</v>
      </c>
      <c r="S17" s="4">
        <f t="shared" si="1"/>
        <v>193977.98572442232</v>
      </c>
      <c r="T17" s="4">
        <f t="shared" si="14"/>
        <v>0</v>
      </c>
      <c r="U17" s="4">
        <f t="shared" si="9"/>
        <v>193977.98572442232</v>
      </c>
      <c r="W17" s="26">
        <f t="shared" si="15"/>
        <v>0</v>
      </c>
      <c r="X17" s="27">
        <f t="shared" si="16"/>
        <v>0</v>
      </c>
      <c r="Y17" s="73" t="s">
        <v>110</v>
      </c>
      <c r="Z17" s="72"/>
      <c r="AA17" s="72"/>
      <c r="AB17" s="75">
        <f>AB16-AB12</f>
        <v>147.32025521865381</v>
      </c>
      <c r="AC17" s="75">
        <f ca="1">AC16-AB12</f>
        <v>149.61453822017614</v>
      </c>
      <c r="AE17" s="91" t="str">
        <f t="shared" ca="1" si="50"/>
        <v/>
      </c>
      <c r="AF17" s="70">
        <f t="shared" si="41"/>
        <v>44769</v>
      </c>
      <c r="AG17" s="10">
        <f t="shared" ref="AG17:AG19" si="53">AG16+1</f>
        <v>44769</v>
      </c>
      <c r="AH17" s="29">
        <v>2.3800000000000002E-3</v>
      </c>
      <c r="AI17" s="87" t="str">
        <f t="shared" ca="1" si="24"/>
        <v/>
      </c>
      <c r="AJ17" s="76">
        <f t="shared" ca="1" si="25"/>
        <v>23.8</v>
      </c>
      <c r="AK17" s="76">
        <f t="shared" ca="1" si="42"/>
        <v>2.6000000000000014</v>
      </c>
      <c r="AL17" s="76">
        <f t="shared" ca="1" si="52"/>
        <v>2.8000000000000003</v>
      </c>
      <c r="AM17" s="11">
        <f t="shared" si="26"/>
        <v>23.8</v>
      </c>
      <c r="AN17" s="11">
        <f t="shared" si="27"/>
        <v>523.012389141683</v>
      </c>
      <c r="AO17" s="11">
        <f t="shared" si="28"/>
        <v>11.42630166897186</v>
      </c>
      <c r="AP17" s="12">
        <f t="shared" si="29"/>
        <v>2.2335051614517092E-2</v>
      </c>
      <c r="AQ17" s="11">
        <f t="shared" si="30"/>
        <v>441.49902877169734</v>
      </c>
      <c r="AR17" s="11">
        <f t="shared" si="31"/>
        <v>11.778302702673329</v>
      </c>
      <c r="AS17" s="12">
        <f t="shared" si="32"/>
        <v>2.7409203206040931E-2</v>
      </c>
      <c r="AT17" s="11">
        <f t="shared" si="33"/>
        <v>387.77771880938565</v>
      </c>
      <c r="AU17" s="11">
        <f t="shared" si="34"/>
        <v>12.128595097265588</v>
      </c>
      <c r="AV17" s="12">
        <f t="shared" si="35"/>
        <v>3.2287031518700882E-2</v>
      </c>
      <c r="AW17" s="10">
        <f t="shared" si="36"/>
        <v>44769</v>
      </c>
      <c r="AX17" s="76">
        <f t="shared" si="43"/>
        <v>99918.118395651705</v>
      </c>
      <c r="AY17" s="75">
        <f t="shared" si="44"/>
        <v>14.49421208288908</v>
      </c>
      <c r="AZ17" s="75">
        <f t="shared" si="37"/>
        <v>6.4549841966286765</v>
      </c>
      <c r="BA17" s="75">
        <f t="shared" si="45"/>
        <v>8.0392278862604023</v>
      </c>
      <c r="BB17" s="75">
        <f t="shared" si="46"/>
        <v>99910.079167765449</v>
      </c>
      <c r="BC17" s="12"/>
      <c r="BD17" s="82">
        <f t="shared" si="47"/>
        <v>13</v>
      </c>
      <c r="BE17" s="83">
        <f t="shared" si="48"/>
        <v>3.2499999999999994E-2</v>
      </c>
      <c r="BF17" s="10">
        <f t="shared" ref="BF17:BF57" si="54">BF16+7</f>
        <v>44825</v>
      </c>
      <c r="BG17" s="11" t="s">
        <v>56</v>
      </c>
      <c r="BH17" s="11">
        <f t="shared" ca="1" si="18"/>
        <v>0.58303886925635595</v>
      </c>
      <c r="BI17" s="11">
        <f t="shared" ca="1" si="19"/>
        <v>565.97053334119585</v>
      </c>
      <c r="BJ17" s="11">
        <f t="shared" ca="1" si="20"/>
        <v>486.04039020600555</v>
      </c>
      <c r="BK17" s="11">
        <f t="shared" ref="BK17:BK57" ca="1" si="55">BH17-BH$7</f>
        <v>0.58303886925635595</v>
      </c>
      <c r="BL17" s="11">
        <f t="shared" ref="BL17:BL57" ca="1" si="56">BI17-BI$7</f>
        <v>54.384445868484704</v>
      </c>
      <c r="BM17" s="11">
        <f t="shared" ref="BM17:BM57" ca="1" si="57">BJ17-BJ$7</f>
        <v>56.319664136981544</v>
      </c>
      <c r="BN17" s="28">
        <f t="shared" ca="1" si="21"/>
        <v>110.58303886925636</v>
      </c>
      <c r="BO17" s="28">
        <f t="shared" ca="1" si="22"/>
        <v>0.1063055606870577</v>
      </c>
      <c r="BP17" s="28">
        <f t="shared" ca="1" si="23"/>
        <v>0.13106108390949517</v>
      </c>
    </row>
    <row r="18" spans="1:68">
      <c r="A18" s="1" t="s">
        <v>19</v>
      </c>
      <c r="B18" s="4">
        <f>B10+B14</f>
        <v>54237.93</v>
      </c>
      <c r="C18" s="3">
        <f t="shared" si="2"/>
        <v>2</v>
      </c>
      <c r="D18" s="3">
        <f t="shared" si="10"/>
        <v>10</v>
      </c>
      <c r="E18" s="1">
        <f t="shared" si="11"/>
        <v>2020</v>
      </c>
      <c r="F18" s="3">
        <f t="shared" si="3"/>
        <v>58</v>
      </c>
      <c r="G18" s="3">
        <f t="shared" si="12"/>
        <v>14</v>
      </c>
      <c r="H18" s="4">
        <f t="shared" si="4"/>
        <v>193977.98572442232</v>
      </c>
      <c r="L18" s="25" t="str">
        <f t="shared" ca="1" si="5"/>
        <v/>
      </c>
      <c r="M18" s="4">
        <f t="shared" si="6"/>
        <v>193977.98572442232</v>
      </c>
      <c r="N18" s="5">
        <v>0</v>
      </c>
      <c r="O18" s="6">
        <f t="shared" si="7"/>
        <v>2.87E-2</v>
      </c>
      <c r="P18" s="4">
        <f t="shared" si="0"/>
        <v>463.93068252424337</v>
      </c>
      <c r="Q18" s="7">
        <f t="shared" si="8"/>
        <v>934.95487455811531</v>
      </c>
      <c r="R18" s="4">
        <f t="shared" si="13"/>
        <v>471.02419203387194</v>
      </c>
      <c r="S18" s="4">
        <f t="shared" si="1"/>
        <v>193506.96153238846</v>
      </c>
      <c r="T18" s="4">
        <f t="shared" si="14"/>
        <v>0</v>
      </c>
      <c r="U18" s="4">
        <f t="shared" si="9"/>
        <v>193506.96153238846</v>
      </c>
      <c r="W18" s="26">
        <f t="shared" si="15"/>
        <v>0</v>
      </c>
      <c r="X18" s="27">
        <f t="shared" si="16"/>
        <v>0</v>
      </c>
      <c r="Y18" s="73" t="s">
        <v>111</v>
      </c>
      <c r="Z18" s="72"/>
      <c r="AA18" s="72"/>
      <c r="AB18" s="12">
        <f>AB17/AB12</f>
        <v>0.34282790259223023</v>
      </c>
      <c r="AC18" s="12">
        <f ca="1">AC17/AB12</f>
        <v>0.34816691200541316</v>
      </c>
      <c r="AE18" s="91" t="str">
        <f t="shared" ca="1" si="50"/>
        <v/>
      </c>
      <c r="AF18" s="70">
        <f t="shared" si="41"/>
        <v>44770</v>
      </c>
      <c r="AG18" s="10">
        <f t="shared" si="53"/>
        <v>44770</v>
      </c>
      <c r="AH18" s="29">
        <v>2.6700000000000001E-3</v>
      </c>
      <c r="AI18" s="87" t="str">
        <f t="shared" ca="1" si="24"/>
        <v/>
      </c>
      <c r="AJ18" s="76">
        <f t="shared" ca="1" si="25"/>
        <v>26.7</v>
      </c>
      <c r="AK18" s="76">
        <f t="shared" ca="1" si="42"/>
        <v>2.8999999999999986</v>
      </c>
      <c r="AL18" s="76">
        <f t="shared" ca="1" si="52"/>
        <v>2.0285714285714285</v>
      </c>
      <c r="AM18" s="11">
        <f t="shared" si="26"/>
        <v>26.7</v>
      </c>
      <c r="AN18" s="11">
        <f t="shared" si="27"/>
        <v>524.4151713312383</v>
      </c>
      <c r="AO18" s="11">
        <f t="shared" si="28"/>
        <v>12.829083858527156</v>
      </c>
      <c r="AP18" s="12">
        <f t="shared" si="29"/>
        <v>2.5077077294857985E-2</v>
      </c>
      <c r="AQ18" s="11">
        <f t="shared" si="30"/>
        <v>442.94717457550195</v>
      </c>
      <c r="AR18" s="11">
        <f t="shared" si="31"/>
        <v>13.226448506477936</v>
      </c>
      <c r="AS18" s="12">
        <f t="shared" si="32"/>
        <v>3.0779172853658061E-2</v>
      </c>
      <c r="AT18" s="11">
        <f t="shared" si="33"/>
        <v>389.27092160751181</v>
      </c>
      <c r="AU18" s="11">
        <f t="shared" si="34"/>
        <v>13.621797895391751</v>
      </c>
      <c r="AV18" s="12">
        <f t="shared" si="35"/>
        <v>3.6262024947064327E-2</v>
      </c>
      <c r="AW18" s="10">
        <f t="shared" si="36"/>
        <v>44770</v>
      </c>
      <c r="AX18" s="76">
        <f t="shared" si="43"/>
        <v>99910.079167765449</v>
      </c>
      <c r="AY18" s="75">
        <f t="shared" si="44"/>
        <v>14.540495582787301</v>
      </c>
      <c r="AZ18" s="75">
        <f t="shared" si="37"/>
        <v>6.5338454513275641</v>
      </c>
      <c r="BA18" s="75">
        <f t="shared" si="45"/>
        <v>8.006650131459736</v>
      </c>
      <c r="BB18" s="75">
        <f t="shared" si="46"/>
        <v>99902.072517633991</v>
      </c>
      <c r="BC18" s="12"/>
      <c r="BD18" s="82">
        <f t="shared" si="47"/>
        <v>14</v>
      </c>
      <c r="BE18" s="83">
        <f t="shared" si="48"/>
        <v>3.4999999999999996E-2</v>
      </c>
      <c r="BF18" s="10">
        <f t="shared" si="54"/>
        <v>44832</v>
      </c>
      <c r="BG18" s="11" t="s">
        <v>64</v>
      </c>
      <c r="BH18" s="11" t="str">
        <f t="shared" ca="1" si="18"/>
        <v/>
      </c>
      <c r="BI18" s="11">
        <f t="shared" ca="1" si="19"/>
        <v>568.04035031423996</v>
      </c>
      <c r="BJ18" s="11">
        <f t="shared" ca="1" si="20"/>
        <v>488.19586113287704</v>
      </c>
      <c r="BK18" s="11" t="e">
        <f t="shared" ca="1" si="55"/>
        <v>#VALUE!</v>
      </c>
      <c r="BL18" s="11">
        <f t="shared" ca="1" si="56"/>
        <v>56.454262841528816</v>
      </c>
      <c r="BM18" s="11">
        <f t="shared" ca="1" si="57"/>
        <v>58.475135063853031</v>
      </c>
      <c r="BN18" s="28">
        <f t="shared" ca="1" si="21"/>
        <v>114.66431095406016</v>
      </c>
      <c r="BO18" s="28">
        <f t="shared" ca="1" si="22"/>
        <v>0.1103514427462615</v>
      </c>
      <c r="BP18" s="28">
        <f t="shared" ca="1" si="23"/>
        <v>0.13607706474567496</v>
      </c>
    </row>
    <row r="19" spans="1:68">
      <c r="C19" s="3">
        <f t="shared" si="2"/>
        <v>2</v>
      </c>
      <c r="D19" s="3">
        <f t="shared" si="10"/>
        <v>11</v>
      </c>
      <c r="E19" s="1">
        <f t="shared" si="11"/>
        <v>2020</v>
      </c>
      <c r="F19" s="3">
        <f t="shared" si="3"/>
        <v>58</v>
      </c>
      <c r="G19" s="3">
        <f t="shared" si="12"/>
        <v>15</v>
      </c>
      <c r="H19" s="4">
        <f t="shared" si="4"/>
        <v>193506.96153238846</v>
      </c>
      <c r="L19" s="25" t="str">
        <f t="shared" ca="1" si="5"/>
        <v/>
      </c>
      <c r="M19" s="4">
        <f t="shared" si="6"/>
        <v>193506.96153238846</v>
      </c>
      <c r="N19" s="5">
        <v>0</v>
      </c>
      <c r="O19" s="6">
        <f t="shared" si="7"/>
        <v>2.87E-2</v>
      </c>
      <c r="P19" s="4">
        <f t="shared" si="0"/>
        <v>462.80414966496238</v>
      </c>
      <c r="Q19" s="7">
        <f t="shared" si="8"/>
        <v>934.95487455811519</v>
      </c>
      <c r="R19" s="4">
        <f t="shared" si="13"/>
        <v>472.15072489315281</v>
      </c>
      <c r="S19" s="4">
        <f t="shared" si="1"/>
        <v>193034.81080749532</v>
      </c>
      <c r="T19" s="4">
        <f t="shared" si="14"/>
        <v>0</v>
      </c>
      <c r="U19" s="4">
        <f t="shared" si="9"/>
        <v>193034.81080749532</v>
      </c>
      <c r="W19" s="26">
        <f t="shared" si="15"/>
        <v>0</v>
      </c>
      <c r="X19" s="27">
        <f t="shared" si="16"/>
        <v>0</v>
      </c>
      <c r="Y19" s="152"/>
      <c r="Z19" s="153"/>
      <c r="AA19" s="153"/>
      <c r="AE19" s="91" t="str">
        <f t="shared" ca="1" si="50"/>
        <v/>
      </c>
      <c r="AF19" s="70">
        <f t="shared" si="41"/>
        <v>44771</v>
      </c>
      <c r="AG19" s="10">
        <f t="shared" si="53"/>
        <v>44771</v>
      </c>
      <c r="AH19" s="29">
        <v>2.32E-3</v>
      </c>
      <c r="AI19" s="87" t="str">
        <f t="shared" ca="1" si="24"/>
        <v/>
      </c>
      <c r="AJ19" s="76">
        <f t="shared" ca="1" si="25"/>
        <v>23.2</v>
      </c>
      <c r="AK19" s="76">
        <f t="shared" ca="1" si="42"/>
        <v>-3.5</v>
      </c>
      <c r="AL19" s="76">
        <f t="shared" ca="1" si="52"/>
        <v>1.2428571428571431</v>
      </c>
      <c r="AM19" s="11">
        <f t="shared" si="26"/>
        <v>23.2</v>
      </c>
      <c r="AN19" s="11">
        <f t="shared" si="27"/>
        <v>522.72244273362821</v>
      </c>
      <c r="AO19" s="11">
        <f t="shared" si="28"/>
        <v>11.136355260917071</v>
      </c>
      <c r="AP19" s="12">
        <f t="shared" si="29"/>
        <v>2.1768291854713705E-2</v>
      </c>
      <c r="AQ19" s="11">
        <f t="shared" si="30"/>
        <v>441.19976347229101</v>
      </c>
      <c r="AR19" s="11">
        <f t="shared" si="31"/>
        <v>11.479037403267</v>
      </c>
      <c r="AS19" s="12">
        <f t="shared" si="32"/>
        <v>2.6712785087827429E-2</v>
      </c>
      <c r="AT19" s="11">
        <f t="shared" si="33"/>
        <v>387.46919521904198</v>
      </c>
      <c r="AU19" s="11">
        <f t="shared" si="34"/>
        <v>11.82007150692192</v>
      </c>
      <c r="AV19" s="12">
        <f t="shared" si="35"/>
        <v>3.1465723625593418E-2</v>
      </c>
      <c r="AW19" s="10">
        <f t="shared" si="36"/>
        <v>44771</v>
      </c>
      <c r="AX19" s="76">
        <f>BB18</f>
        <v>99902.072517633991</v>
      </c>
      <c r="AY19" s="75">
        <f t="shared" si="44"/>
        <v>14.482079627480532</v>
      </c>
      <c r="AZ19" s="75">
        <f t="shared" si="37"/>
        <v>6.4375253304513738</v>
      </c>
      <c r="BA19" s="75">
        <f>AY19-AZ19</f>
        <v>8.0445542970291584</v>
      </c>
      <c r="BB19" s="75">
        <f>AX19-BA19</f>
        <v>99894.027963336965</v>
      </c>
      <c r="BC19" s="12"/>
      <c r="BD19" s="82">
        <f t="shared" si="47"/>
        <v>15</v>
      </c>
      <c r="BE19" s="83">
        <f t="shared" si="48"/>
        <v>3.7499999999999999E-2</v>
      </c>
      <c r="BF19" s="10">
        <f t="shared" si="54"/>
        <v>44839</v>
      </c>
      <c r="BG19" s="11" t="s">
        <v>65</v>
      </c>
      <c r="BH19" s="11" t="str">
        <f t="shared" ca="1" si="18"/>
        <v/>
      </c>
      <c r="BI19" s="11">
        <f t="shared" ca="1" si="19"/>
        <v>570.11458397987542</v>
      </c>
      <c r="BJ19" s="11">
        <f t="shared" ca="1" si="20"/>
        <v>490.35672365542422</v>
      </c>
      <c r="BK19" s="11" t="e">
        <f t="shared" ca="1" si="55"/>
        <v>#VALUE!</v>
      </c>
      <c r="BL19" s="11">
        <f t="shared" ca="1" si="56"/>
        <v>58.528496507164277</v>
      </c>
      <c r="BM19" s="11">
        <f t="shared" ca="1" si="57"/>
        <v>60.635997586400208</v>
      </c>
      <c r="BN19" s="28">
        <f t="shared" ca="1" si="21"/>
        <v>118.74558303887284</v>
      </c>
      <c r="BO19" s="28">
        <f t="shared" ca="1" si="22"/>
        <v>0.11440595813756621</v>
      </c>
      <c r="BP19" s="28">
        <f t="shared" ca="1" si="23"/>
        <v>0.1411055923252362</v>
      </c>
    </row>
    <row r="20" spans="1:68" s="33" customFormat="1">
      <c r="C20" s="32">
        <f t="shared" si="2"/>
        <v>2</v>
      </c>
      <c r="D20" s="32">
        <f t="shared" si="10"/>
        <v>12</v>
      </c>
      <c r="E20" s="33">
        <f t="shared" si="11"/>
        <v>2020</v>
      </c>
      <c r="F20" s="32">
        <f t="shared" si="3"/>
        <v>58</v>
      </c>
      <c r="G20" s="32">
        <f t="shared" si="12"/>
        <v>16</v>
      </c>
      <c r="H20" s="34">
        <f t="shared" si="4"/>
        <v>193034.81080749532</v>
      </c>
      <c r="I20" s="35"/>
      <c r="J20" s="35"/>
      <c r="K20" s="35"/>
      <c r="L20" s="25" t="str">
        <f t="shared" ca="1" si="5"/>
        <v/>
      </c>
      <c r="M20" s="34">
        <f t="shared" si="6"/>
        <v>193034.81080749532</v>
      </c>
      <c r="N20" s="5">
        <v>0</v>
      </c>
      <c r="O20" s="6">
        <f t="shared" si="7"/>
        <v>2.87E-2</v>
      </c>
      <c r="P20" s="34">
        <f t="shared" si="0"/>
        <v>461.67492251459294</v>
      </c>
      <c r="Q20" s="7">
        <f t="shared" si="8"/>
        <v>934.95487455811542</v>
      </c>
      <c r="R20" s="34">
        <f t="shared" si="13"/>
        <v>473.27995204352248</v>
      </c>
      <c r="S20" s="34">
        <f t="shared" si="1"/>
        <v>192561.5308554518</v>
      </c>
      <c r="T20" s="34">
        <f t="shared" si="14"/>
        <v>0</v>
      </c>
      <c r="U20" s="34">
        <f t="shared" si="9"/>
        <v>192561.5308554518</v>
      </c>
      <c r="W20" s="26">
        <f t="shared" si="15"/>
        <v>0</v>
      </c>
      <c r="X20" s="27">
        <f t="shared" si="16"/>
        <v>0</v>
      </c>
      <c r="Y20" s="159"/>
      <c r="Z20" s="160"/>
      <c r="AA20" s="160"/>
      <c r="AE20" s="91" t="str">
        <f t="shared" ca="1" si="50"/>
        <v/>
      </c>
      <c r="AF20" s="70">
        <f t="shared" si="41"/>
        <v>44774</v>
      </c>
      <c r="AG20" s="10">
        <f>AG19+3</f>
        <v>44774</v>
      </c>
      <c r="AH20" s="29">
        <v>2.4599999999999999E-3</v>
      </c>
      <c r="AI20" s="87" t="str">
        <f t="shared" ca="1" si="24"/>
        <v/>
      </c>
      <c r="AJ20" s="76">
        <f t="shared" ca="1" si="25"/>
        <v>24.599999999999998</v>
      </c>
      <c r="AK20" s="76">
        <f t="shared" ca="1" si="42"/>
        <v>1.3999999999999986</v>
      </c>
      <c r="AL20" s="76">
        <f t="shared" ca="1" si="52"/>
        <v>0.65714285714285681</v>
      </c>
      <c r="AM20" s="11">
        <f t="shared" si="26"/>
        <v>24.599999999999998</v>
      </c>
      <c r="AN20" s="11">
        <f t="shared" si="27"/>
        <v>523.39913604823676</v>
      </c>
      <c r="AO20" s="11">
        <f t="shared" si="28"/>
        <v>11.813048575525613</v>
      </c>
      <c r="AP20" s="12">
        <f t="shared" si="29"/>
        <v>2.3091027814855777E-2</v>
      </c>
      <c r="AQ20" s="11">
        <f t="shared" si="30"/>
        <v>441.8982364502782</v>
      </c>
      <c r="AR20" s="11">
        <f t="shared" si="31"/>
        <v>12.177510381254194</v>
      </c>
      <c r="AS20" s="12">
        <f t="shared" si="32"/>
        <v>2.8338196513468094E-2</v>
      </c>
      <c r="AT20" s="11">
        <f t="shared" si="33"/>
        <v>388.18930495404192</v>
      </c>
      <c r="AU20" s="11">
        <f t="shared" si="34"/>
        <v>12.540181241921857</v>
      </c>
      <c r="AV20" s="12">
        <f t="shared" si="35"/>
        <v>3.3382697976242492E-2</v>
      </c>
      <c r="AW20" s="10">
        <f t="shared" si="36"/>
        <v>44774</v>
      </c>
      <c r="AX20" s="76">
        <f t="shared" ref="AX20:AX40" si="58">BB19</f>
        <v>99894.027963336965</v>
      </c>
      <c r="AY20" s="75">
        <f t="shared" si="44"/>
        <v>14.506127506443281</v>
      </c>
      <c r="AZ20" s="75">
        <f t="shared" si="37"/>
        <v>6.4753224701713767</v>
      </c>
      <c r="BA20" s="75">
        <f t="shared" ref="BA20:BA40" si="59">AY20-AZ20</f>
        <v>8.0308050362719037</v>
      </c>
      <c r="BB20" s="75">
        <f t="shared" ref="BB20:BB40" si="60">AX20-BA20</f>
        <v>99885.997158300699</v>
      </c>
      <c r="BC20" s="12"/>
      <c r="BD20" s="82">
        <f t="shared" si="47"/>
        <v>16</v>
      </c>
      <c r="BE20" s="83">
        <f t="shared" si="48"/>
        <v>0.04</v>
      </c>
      <c r="BF20" s="10">
        <f t="shared" si="54"/>
        <v>44846</v>
      </c>
      <c r="BG20" s="11" t="s">
        <v>66</v>
      </c>
      <c r="BH20" s="11" t="str">
        <f t="shared" ca="1" si="18"/>
        <v/>
      </c>
      <c r="BI20" s="11">
        <f t="shared" ca="1" si="19"/>
        <v>572.19322943380746</v>
      </c>
      <c r="BJ20" s="11">
        <f t="shared" ca="1" si="20"/>
        <v>492.52296861655554</v>
      </c>
      <c r="BK20" s="11" t="e">
        <f t="shared" ca="1" si="55"/>
        <v>#VALUE!</v>
      </c>
      <c r="BL20" s="11">
        <f t="shared" ca="1" si="56"/>
        <v>60.607141961096318</v>
      </c>
      <c r="BM20" s="11">
        <f t="shared" ca="1" si="57"/>
        <v>62.802242547531534</v>
      </c>
      <c r="BN20" s="28">
        <f t="shared" ca="1" si="21"/>
        <v>122.8268551236722</v>
      </c>
      <c r="BO20" s="28">
        <f t="shared" ca="1" si="22"/>
        <v>0.11846909727452118</v>
      </c>
      <c r="BP20" s="28">
        <f t="shared" ca="1" si="23"/>
        <v>0.14614664533877733</v>
      </c>
    </row>
    <row r="21" spans="1:68">
      <c r="C21" s="3">
        <f t="shared" si="2"/>
        <v>2</v>
      </c>
      <c r="D21" s="3">
        <f>IF(D20+1&gt;12,1,D20+1)</f>
        <v>1</v>
      </c>
      <c r="E21" s="1">
        <f t="shared" si="11"/>
        <v>2021</v>
      </c>
      <c r="F21" s="3">
        <f t="shared" si="3"/>
        <v>58</v>
      </c>
      <c r="G21" s="3">
        <f t="shared" si="12"/>
        <v>17</v>
      </c>
      <c r="H21" s="4">
        <f t="shared" si="4"/>
        <v>192561.5308554518</v>
      </c>
      <c r="L21" s="25" t="str">
        <f t="shared" ca="1" si="5"/>
        <v/>
      </c>
      <c r="M21" s="4">
        <f t="shared" si="6"/>
        <v>192561.5308554518</v>
      </c>
      <c r="N21" s="5">
        <v>0</v>
      </c>
      <c r="O21" s="6">
        <f t="shared" si="7"/>
        <v>2.87E-2</v>
      </c>
      <c r="P21" s="4">
        <f t="shared" si="0"/>
        <v>460.5429946292889</v>
      </c>
      <c r="Q21" s="7">
        <f t="shared" si="8"/>
        <v>934.95487455811508</v>
      </c>
      <c r="R21" s="4">
        <f t="shared" si="13"/>
        <v>474.41187992882618</v>
      </c>
      <c r="S21" s="4">
        <f t="shared" si="1"/>
        <v>192087.11897552299</v>
      </c>
      <c r="T21" s="4">
        <f t="shared" si="14"/>
        <v>0</v>
      </c>
      <c r="U21" s="4">
        <f t="shared" si="9"/>
        <v>192087.11897552299</v>
      </c>
      <c r="W21" s="26">
        <f t="shared" si="15"/>
        <v>0</v>
      </c>
      <c r="X21" s="27">
        <f t="shared" si="16"/>
        <v>0</v>
      </c>
      <c r="AB21" s="1">
        <v>0</v>
      </c>
      <c r="AC21" s="77">
        <f ca="1">EOMONTH(TODAY(),AB21)</f>
        <v>44834</v>
      </c>
      <c r="AE21" s="91" t="str">
        <f t="shared" ca="1" si="50"/>
        <v/>
      </c>
      <c r="AF21" s="70">
        <f t="shared" si="41"/>
        <v>44775</v>
      </c>
      <c r="AG21" s="10">
        <f>AG20+1</f>
        <v>44775</v>
      </c>
      <c r="AH21" s="29">
        <v>2.5999999999999999E-3</v>
      </c>
      <c r="AI21" s="87" t="str">
        <f t="shared" ca="1" si="24"/>
        <v/>
      </c>
      <c r="AJ21" s="76">
        <f t="shared" ca="1" si="25"/>
        <v>26</v>
      </c>
      <c r="AK21" s="76">
        <f t="shared" ca="1" si="42"/>
        <v>1.4000000000000021</v>
      </c>
      <c r="AL21" s="76">
        <f t="shared" ca="1" si="52"/>
        <v>0.38571428571428562</v>
      </c>
      <c r="AM21" s="11">
        <f t="shared" si="26"/>
        <v>26</v>
      </c>
      <c r="AN21" s="11">
        <f t="shared" si="27"/>
        <v>524.07636022032943</v>
      </c>
      <c r="AO21" s="11">
        <f t="shared" si="28"/>
        <v>12.490272747618292</v>
      </c>
      <c r="AP21" s="12">
        <f t="shared" si="29"/>
        <v>2.4414801444897667E-2</v>
      </c>
      <c r="AQ21" s="11">
        <f t="shared" si="30"/>
        <v>442.59736475947761</v>
      </c>
      <c r="AR21" s="11">
        <f t="shared" si="31"/>
        <v>12.876638690453603</v>
      </c>
      <c r="AS21" s="12">
        <f t="shared" si="32"/>
        <v>2.9965132955642661E-2</v>
      </c>
      <c r="AT21" s="11">
        <f t="shared" si="33"/>
        <v>388.91018919465944</v>
      </c>
      <c r="AU21" s="11">
        <f t="shared" si="34"/>
        <v>13.261065482539379</v>
      </c>
      <c r="AV21" s="12">
        <f t="shared" si="35"/>
        <v>3.530173410627211E-2</v>
      </c>
      <c r="AW21" s="10">
        <f t="shared" si="36"/>
        <v>44775</v>
      </c>
      <c r="AX21" s="76">
        <f t="shared" si="58"/>
        <v>99885.997158300699</v>
      </c>
      <c r="AY21" s="75">
        <f t="shared" si="44"/>
        <v>14.52553170284361</v>
      </c>
      <c r="AZ21" s="75">
        <f t="shared" si="37"/>
        <v>6.5131143352535803</v>
      </c>
      <c r="BA21" s="75">
        <f t="shared" si="59"/>
        <v>8.0124173675900288</v>
      </c>
      <c r="BB21" s="75">
        <f t="shared" si="60"/>
        <v>99877.984740933112</v>
      </c>
      <c r="BC21" s="12"/>
      <c r="BD21" s="82">
        <f t="shared" si="47"/>
        <v>17</v>
      </c>
      <c r="BE21" s="83">
        <f t="shared" si="48"/>
        <v>4.2500000000000003E-2</v>
      </c>
      <c r="BF21" s="10">
        <f t="shared" si="54"/>
        <v>44853</v>
      </c>
      <c r="BG21" s="11" t="s">
        <v>67</v>
      </c>
      <c r="BH21" s="11" t="str">
        <f t="shared" ca="1" si="18"/>
        <v/>
      </c>
      <c r="BI21" s="11">
        <f t="shared" ca="1" si="19"/>
        <v>574.27628172039579</v>
      </c>
      <c r="BJ21" s="11">
        <f t="shared" ca="1" si="20"/>
        <v>494.69458676801156</v>
      </c>
      <c r="BK21" s="11" t="e">
        <f t="shared" ca="1" si="55"/>
        <v>#VALUE!</v>
      </c>
      <c r="BL21" s="11">
        <f t="shared" ca="1" si="56"/>
        <v>62.690194247684644</v>
      </c>
      <c r="BM21" s="11">
        <f t="shared" ca="1" si="57"/>
        <v>64.973860698987551</v>
      </c>
      <c r="BN21" s="28">
        <f t="shared" ca="1" si="21"/>
        <v>126.90812720848044</v>
      </c>
      <c r="BO21" s="28">
        <f t="shared" ca="1" si="22"/>
        <v>0.12254085047031042</v>
      </c>
      <c r="BP21" s="28">
        <f t="shared" ca="1" si="23"/>
        <v>0.15120020226474043</v>
      </c>
    </row>
    <row r="22" spans="1:68">
      <c r="A22" s="1" t="s">
        <v>27</v>
      </c>
      <c r="B22" s="6">
        <v>2.75E-2</v>
      </c>
      <c r="C22" s="3">
        <f t="shared" si="2"/>
        <v>2</v>
      </c>
      <c r="D22" s="3">
        <f t="shared" si="10"/>
        <v>2</v>
      </c>
      <c r="E22" s="1">
        <f t="shared" si="11"/>
        <v>2021</v>
      </c>
      <c r="F22" s="3">
        <f t="shared" si="3"/>
        <v>59</v>
      </c>
      <c r="G22" s="3">
        <f t="shared" si="12"/>
        <v>18</v>
      </c>
      <c r="H22" s="4">
        <f t="shared" si="4"/>
        <v>192087.11897552299</v>
      </c>
      <c r="L22" s="25" t="str">
        <f t="shared" ca="1" si="5"/>
        <v/>
      </c>
      <c r="M22" s="4">
        <f t="shared" si="6"/>
        <v>192087.11897552299</v>
      </c>
      <c r="N22" s="5">
        <v>0</v>
      </c>
      <c r="O22" s="6">
        <f t="shared" si="7"/>
        <v>2.87E-2</v>
      </c>
      <c r="P22" s="4">
        <f t="shared" si="0"/>
        <v>459.40835954979246</v>
      </c>
      <c r="Q22" s="7">
        <f t="shared" si="8"/>
        <v>934.95487455811565</v>
      </c>
      <c r="R22" s="4">
        <f t="shared" si="13"/>
        <v>475.54651500832318</v>
      </c>
      <c r="S22" s="4">
        <f t="shared" si="1"/>
        <v>191611.57246051467</v>
      </c>
      <c r="T22" s="4">
        <f t="shared" si="14"/>
        <v>0</v>
      </c>
      <c r="U22" s="4">
        <f t="shared" si="9"/>
        <v>191611.57246051467</v>
      </c>
      <c r="W22" s="26">
        <f t="shared" si="15"/>
        <v>0</v>
      </c>
      <c r="X22" s="27">
        <f t="shared" si="16"/>
        <v>0</v>
      </c>
      <c r="AA22" s="67">
        <v>0.01</v>
      </c>
      <c r="AB22" s="1">
        <f>AB21+1</f>
        <v>1</v>
      </c>
      <c r="AC22" s="77">
        <f ca="1">EOMONTH(TODAY(),AB22)</f>
        <v>44865</v>
      </c>
      <c r="AE22" s="91" t="str">
        <f t="shared" ca="1" si="50"/>
        <v/>
      </c>
      <c r="AF22" s="70">
        <f t="shared" si="41"/>
        <v>44776</v>
      </c>
      <c r="AG22" s="10">
        <f t="shared" ref="AG22:AG24" si="61">AG21+1</f>
        <v>44776</v>
      </c>
      <c r="AH22" s="29">
        <v>2.5200000000000001E-3</v>
      </c>
      <c r="AI22" s="87" t="str">
        <f t="shared" ca="1" si="24"/>
        <v/>
      </c>
      <c r="AJ22" s="76">
        <f t="shared" ca="1" si="25"/>
        <v>25.2</v>
      </c>
      <c r="AK22" s="76">
        <f t="shared" ca="1" si="42"/>
        <v>-0.80000000000000071</v>
      </c>
      <c r="AL22" s="76">
        <f t="shared" ca="1" si="52"/>
        <v>0.5714285714285714</v>
      </c>
      <c r="AM22" s="11">
        <f t="shared" si="26"/>
        <v>25.2</v>
      </c>
      <c r="AN22" s="11">
        <f t="shared" si="27"/>
        <v>523.68930998484325</v>
      </c>
      <c r="AO22" s="11">
        <f t="shared" si="28"/>
        <v>12.103222512132106</v>
      </c>
      <c r="AP22" s="12">
        <f t="shared" si="29"/>
        <v>2.3658232325908808E-2</v>
      </c>
      <c r="AQ22" s="11">
        <f t="shared" si="30"/>
        <v>442.19778264019783</v>
      </c>
      <c r="AR22" s="11">
        <f t="shared" si="31"/>
        <v>12.477056571173819</v>
      </c>
      <c r="AS22" s="12">
        <f t="shared" si="32"/>
        <v>2.9035268289967674E-2</v>
      </c>
      <c r="AT22" s="11">
        <f t="shared" si="33"/>
        <v>388.49816053283706</v>
      </c>
      <c r="AU22" s="11">
        <f t="shared" si="34"/>
        <v>12.849036820717004</v>
      </c>
      <c r="AV22" s="12">
        <f t="shared" si="35"/>
        <v>3.4204889642079676E-2</v>
      </c>
      <c r="AW22" s="10">
        <f t="shared" si="36"/>
        <v>44776</v>
      </c>
      <c r="AX22" s="76">
        <f t="shared" si="58"/>
        <v>99877.984740933112</v>
      </c>
      <c r="AY22" s="75">
        <f t="shared" si="44"/>
        <v>14.511278084331993</v>
      </c>
      <c r="AZ22" s="75">
        <f t="shared" si="37"/>
        <v>6.4907008165888591</v>
      </c>
      <c r="BA22" s="75">
        <f t="shared" si="59"/>
        <v>8.0205772677431337</v>
      </c>
      <c r="BB22" s="75">
        <f t="shared" si="60"/>
        <v>99869.964163665369</v>
      </c>
      <c r="BC22" s="12"/>
      <c r="BD22" s="82">
        <f t="shared" si="47"/>
        <v>18</v>
      </c>
      <c r="BE22" s="83">
        <f t="shared" si="48"/>
        <v>4.5000000000000005E-2</v>
      </c>
      <c r="BF22" s="10">
        <f t="shared" si="54"/>
        <v>44860</v>
      </c>
      <c r="BG22" s="11" t="s">
        <v>68</v>
      </c>
      <c r="BH22" s="11" t="str">
        <f t="shared" ca="1" si="18"/>
        <v/>
      </c>
      <c r="BI22" s="11">
        <f t="shared" ca="1" si="19"/>
        <v>576.36373583277305</v>
      </c>
      <c r="BJ22" s="11">
        <f t="shared" ca="1" si="20"/>
        <v>496.87156877090769</v>
      </c>
      <c r="BK22" s="11" t="e">
        <f t="shared" ca="1" si="55"/>
        <v>#VALUE!</v>
      </c>
      <c r="BL22" s="11">
        <f t="shared" ca="1" si="56"/>
        <v>64.777648360061903</v>
      </c>
      <c r="BM22" s="11">
        <f t="shared" ca="1" si="57"/>
        <v>67.150842701883676</v>
      </c>
      <c r="BN22" s="28">
        <f t="shared" ca="1" si="21"/>
        <v>130.98939929328867</v>
      </c>
      <c r="BO22" s="28">
        <f t="shared" ca="1" si="22"/>
        <v>0.12662120793798415</v>
      </c>
      <c r="BP22" s="28">
        <f t="shared" ca="1" si="23"/>
        <v>0.15626624137067466</v>
      </c>
    </row>
    <row r="23" spans="1:68">
      <c r="A23" s="1" t="s">
        <v>28</v>
      </c>
      <c r="B23" s="6">
        <f>0.12/100</f>
        <v>1.1999999999999999E-3</v>
      </c>
      <c r="C23" s="3">
        <f t="shared" si="2"/>
        <v>2</v>
      </c>
      <c r="D23" s="3">
        <f t="shared" si="10"/>
        <v>3</v>
      </c>
      <c r="E23" s="1">
        <f t="shared" si="11"/>
        <v>2021</v>
      </c>
      <c r="F23" s="3">
        <f t="shared" si="3"/>
        <v>59</v>
      </c>
      <c r="G23" s="3">
        <f t="shared" si="12"/>
        <v>19</v>
      </c>
      <c r="H23" s="4">
        <f t="shared" si="4"/>
        <v>191611.57246051467</v>
      </c>
      <c r="L23" s="25" t="str">
        <f t="shared" ca="1" si="5"/>
        <v/>
      </c>
      <c r="M23" s="4">
        <f t="shared" si="6"/>
        <v>191611.57246051467</v>
      </c>
      <c r="N23" s="5">
        <v>0</v>
      </c>
      <c r="O23" s="6">
        <f t="shared" si="7"/>
        <v>2.87E-2</v>
      </c>
      <c r="P23" s="4">
        <f t="shared" si="0"/>
        <v>458.27101080139755</v>
      </c>
      <c r="Q23" s="7">
        <f t="shared" si="8"/>
        <v>934.95487455811531</v>
      </c>
      <c r="R23" s="4">
        <f t="shared" si="13"/>
        <v>476.68386375671776</v>
      </c>
      <c r="S23" s="4">
        <f t="shared" si="1"/>
        <v>191134.88859675796</v>
      </c>
      <c r="T23" s="4">
        <f t="shared" si="14"/>
        <v>0</v>
      </c>
      <c r="U23" s="4">
        <f t="shared" si="9"/>
        <v>191134.88859675796</v>
      </c>
      <c r="W23" s="26">
        <f t="shared" si="15"/>
        <v>0</v>
      </c>
      <c r="X23" s="27">
        <f t="shared" si="16"/>
        <v>0</v>
      </c>
      <c r="AA23" s="67">
        <f>AA22+0.0025</f>
        <v>1.2500000000000001E-2</v>
      </c>
      <c r="AB23" s="1">
        <f t="shared" ref="AB23:AB31" si="62">AB22+1</f>
        <v>2</v>
      </c>
      <c r="AC23" s="77">
        <f t="shared" ref="AC23:AC31" ca="1" si="63">EOMONTH(TODAY(),AB23)</f>
        <v>44895</v>
      </c>
      <c r="AE23" s="91" t="str">
        <f t="shared" ca="1" si="50"/>
        <v/>
      </c>
      <c r="AF23" s="70">
        <f t="shared" si="41"/>
        <v>44777</v>
      </c>
      <c r="AG23" s="10">
        <f t="shared" si="61"/>
        <v>44777</v>
      </c>
      <c r="AH23" s="29">
        <v>2.6900000000000001E-3</v>
      </c>
      <c r="AI23" s="87" t="str">
        <f t="shared" ca="1" si="24"/>
        <v/>
      </c>
      <c r="AJ23" s="76">
        <f t="shared" ca="1" si="25"/>
        <v>26.900000000000002</v>
      </c>
      <c r="AK23" s="76">
        <f t="shared" ca="1" si="42"/>
        <v>1.7000000000000028</v>
      </c>
      <c r="AL23" s="76">
        <f t="shared" ca="1" si="52"/>
        <v>0.44285714285714306</v>
      </c>
      <c r="AM23" s="11">
        <f t="shared" si="26"/>
        <v>26.900000000000002</v>
      </c>
      <c r="AN23" s="11">
        <f t="shared" si="27"/>
        <v>524.51199887241376</v>
      </c>
      <c r="AO23" s="11">
        <f t="shared" si="28"/>
        <v>12.925911399702613</v>
      </c>
      <c r="AP23" s="12">
        <f t="shared" si="29"/>
        <v>2.5266346595854413E-2</v>
      </c>
      <c r="AQ23" s="11">
        <f t="shared" si="30"/>
        <v>443.04715031113369</v>
      </c>
      <c r="AR23" s="11">
        <f t="shared" si="31"/>
        <v>13.326424242109681</v>
      </c>
      <c r="AS23" s="12">
        <f t="shared" si="32"/>
        <v>3.1011825666442536E-2</v>
      </c>
      <c r="AT23" s="11">
        <f t="shared" si="33"/>
        <v>389.37402354534248</v>
      </c>
      <c r="AU23" s="11">
        <f t="shared" si="34"/>
        <v>13.724899833222423</v>
      </c>
      <c r="AV23" s="12">
        <f t="shared" si="35"/>
        <v>3.6536488352733508E-2</v>
      </c>
      <c r="AW23" s="10">
        <f t="shared" si="36"/>
        <v>44777</v>
      </c>
      <c r="AX23" s="76">
        <f t="shared" si="58"/>
        <v>99869.964163665369</v>
      </c>
      <c r="AY23" s="75">
        <f t="shared" si="44"/>
        <v>14.537931901528074</v>
      </c>
      <c r="AZ23" s="75">
        <f t="shared" si="37"/>
        <v>6.536694366767029</v>
      </c>
      <c r="BA23" s="75">
        <f t="shared" si="59"/>
        <v>8.0012375347610458</v>
      </c>
      <c r="BB23" s="75">
        <f t="shared" si="60"/>
        <v>99861.962926130611</v>
      </c>
      <c r="BC23" s="12"/>
      <c r="BD23" s="82">
        <f t="shared" si="47"/>
        <v>19</v>
      </c>
      <c r="BE23" s="83">
        <f t="shared" si="48"/>
        <v>4.7500000000000007E-2</v>
      </c>
      <c r="BF23" s="10">
        <f t="shared" si="54"/>
        <v>44867</v>
      </c>
      <c r="BG23" s="11" t="s">
        <v>69</v>
      </c>
      <c r="BH23" s="11" t="str">
        <f t="shared" ca="1" si="18"/>
        <v/>
      </c>
      <c r="BI23" s="11">
        <f t="shared" ca="1" si="19"/>
        <v>578.4555867132907</v>
      </c>
      <c r="BJ23" s="11">
        <f t="shared" ca="1" si="20"/>
        <v>499.05390519655037</v>
      </c>
      <c r="BK23" s="11" t="e">
        <f t="shared" ca="1" si="55"/>
        <v>#VALUE!</v>
      </c>
      <c r="BL23" s="11">
        <f t="shared" ca="1" si="56"/>
        <v>66.869499240579557</v>
      </c>
      <c r="BM23" s="11">
        <f t="shared" ca="1" si="57"/>
        <v>69.333179127526364</v>
      </c>
      <c r="BN23" s="28">
        <f t="shared" ca="1" si="21"/>
        <v>135.07067137809247</v>
      </c>
      <c r="BO23" s="28">
        <f t="shared" ca="1" si="22"/>
        <v>0.1307101597913303</v>
      </c>
      <c r="BP23" s="28">
        <f t="shared" ca="1" si="23"/>
        <v>0.1613447407151353</v>
      </c>
    </row>
    <row r="24" spans="1:68">
      <c r="B24" s="4"/>
      <c r="C24" s="3">
        <f t="shared" si="2"/>
        <v>2</v>
      </c>
      <c r="D24" s="3">
        <f t="shared" si="10"/>
        <v>4</v>
      </c>
      <c r="E24" s="1">
        <f t="shared" si="11"/>
        <v>2021</v>
      </c>
      <c r="F24" s="3">
        <f t="shared" si="3"/>
        <v>59</v>
      </c>
      <c r="G24" s="3">
        <f t="shared" si="12"/>
        <v>20</v>
      </c>
      <c r="H24" s="4">
        <f t="shared" si="4"/>
        <v>191134.88859675796</v>
      </c>
      <c r="L24" s="25" t="str">
        <f t="shared" ca="1" si="5"/>
        <v/>
      </c>
      <c r="M24" s="4">
        <f t="shared" si="6"/>
        <v>191134.88859675796</v>
      </c>
      <c r="N24" s="5">
        <v>0</v>
      </c>
      <c r="O24" s="6">
        <f t="shared" si="7"/>
        <v>2.87E-2</v>
      </c>
      <c r="P24" s="4">
        <f t="shared" si="0"/>
        <v>457.13094189391273</v>
      </c>
      <c r="Q24" s="7">
        <f t="shared" si="8"/>
        <v>934.95487455811519</v>
      </c>
      <c r="R24" s="4">
        <f t="shared" si="13"/>
        <v>477.82393266420246</v>
      </c>
      <c r="S24" s="4">
        <f t="shared" si="1"/>
        <v>190657.06466409375</v>
      </c>
      <c r="T24" s="4">
        <f t="shared" si="14"/>
        <v>0</v>
      </c>
      <c r="U24" s="4">
        <f t="shared" si="9"/>
        <v>190657.06466409375</v>
      </c>
      <c r="W24" s="26">
        <f t="shared" si="15"/>
        <v>0</v>
      </c>
      <c r="X24" s="27">
        <f t="shared" si="16"/>
        <v>0</v>
      </c>
      <c r="AA24" s="67">
        <f t="shared" ref="AA24:AA32" si="64">AA23+0.0025</f>
        <v>1.5000000000000001E-2</v>
      </c>
      <c r="AB24" s="1">
        <f t="shared" si="62"/>
        <v>3</v>
      </c>
      <c r="AC24" s="77">
        <v>44925</v>
      </c>
      <c r="AE24" s="91" t="str">
        <f t="shared" ca="1" si="50"/>
        <v/>
      </c>
      <c r="AF24" s="70">
        <f t="shared" si="41"/>
        <v>44778</v>
      </c>
      <c r="AG24" s="10">
        <f t="shared" si="61"/>
        <v>44778</v>
      </c>
      <c r="AH24" s="29">
        <v>2.7699999999999999E-3</v>
      </c>
      <c r="AI24" s="87" t="str">
        <f t="shared" ca="1" si="24"/>
        <v/>
      </c>
      <c r="AJ24" s="76">
        <f t="shared" ca="1" si="25"/>
        <v>27.7</v>
      </c>
      <c r="AK24" s="76">
        <f t="shared" ca="1" si="42"/>
        <v>0.79999999999999716</v>
      </c>
      <c r="AL24" s="76">
        <f t="shared" ca="1" si="52"/>
        <v>0.14285714285714285</v>
      </c>
      <c r="AM24" s="11">
        <f t="shared" si="26"/>
        <v>27.7</v>
      </c>
      <c r="AN24" s="11">
        <f t="shared" si="27"/>
        <v>524.89941732091677</v>
      </c>
      <c r="AO24" s="11">
        <f t="shared" si="28"/>
        <v>13.313329848205626</v>
      </c>
      <c r="AP24" s="12">
        <f t="shared" si="29"/>
        <v>2.6023635462752458E-2</v>
      </c>
      <c r="AQ24" s="11">
        <f t="shared" si="30"/>
        <v>443.44718689220645</v>
      </c>
      <c r="AR24" s="11">
        <f t="shared" si="31"/>
        <v>13.726460823182435</v>
      </c>
      <c r="AS24" s="12">
        <f t="shared" si="32"/>
        <v>3.1942747906875728E-2</v>
      </c>
      <c r="AT24" s="11">
        <f t="shared" si="33"/>
        <v>389.78658918720782</v>
      </c>
      <c r="AU24" s="11">
        <f t="shared" si="34"/>
        <v>14.137465475087765</v>
      </c>
      <c r="AV24" s="12">
        <f t="shared" si="35"/>
        <v>3.7634762289295416E-2</v>
      </c>
      <c r="AW24" s="10">
        <f t="shared" si="36"/>
        <v>44778</v>
      </c>
      <c r="AX24" s="76">
        <f t="shared" si="58"/>
        <v>99861.962926130611</v>
      </c>
      <c r="AY24" s="75">
        <f t="shared" si="44"/>
        <v>14.549868478079716</v>
      </c>
      <c r="AZ24" s="75">
        <f t="shared" si="37"/>
        <v>6.558058222847535</v>
      </c>
      <c r="BA24" s="75">
        <f t="shared" si="59"/>
        <v>7.9918102552321812</v>
      </c>
      <c r="BB24" s="75">
        <f t="shared" si="60"/>
        <v>99853.971115875378</v>
      </c>
      <c r="BC24" s="12"/>
      <c r="BD24" s="82">
        <f t="shared" si="47"/>
        <v>20</v>
      </c>
      <c r="BE24" s="83">
        <f t="shared" si="48"/>
        <v>5.000000000000001E-2</v>
      </c>
      <c r="BF24" s="10">
        <f t="shared" si="54"/>
        <v>44874</v>
      </c>
      <c r="BG24" s="11" t="s">
        <v>70</v>
      </c>
      <c r="BH24" s="11" t="str">
        <f t="shared" ca="1" si="18"/>
        <v/>
      </c>
      <c r="BI24" s="11">
        <f t="shared" ca="1" si="19"/>
        <v>580.5518292535761</v>
      </c>
      <c r="BJ24" s="11">
        <f t="shared" ca="1" si="20"/>
        <v>501.24158652694746</v>
      </c>
      <c r="BK24" s="11" t="e">
        <f t="shared" ca="1" si="55"/>
        <v>#VALUE!</v>
      </c>
      <c r="BL24" s="11">
        <f t="shared" ca="1" si="56"/>
        <v>68.96574178086496</v>
      </c>
      <c r="BM24" s="11">
        <f t="shared" ca="1" si="57"/>
        <v>71.520860457923447</v>
      </c>
      <c r="BN24" s="28">
        <f t="shared" ca="1" si="21"/>
        <v>139.15194346289627</v>
      </c>
      <c r="BO24" s="28">
        <f t="shared" ca="1" si="22"/>
        <v>0.13480769604498619</v>
      </c>
      <c r="BP24" s="28">
        <f t="shared" ca="1" si="23"/>
        <v>0.16643567814887147</v>
      </c>
    </row>
    <row r="25" spans="1:68">
      <c r="C25" s="3">
        <f t="shared" si="2"/>
        <v>2</v>
      </c>
      <c r="D25" s="3">
        <f t="shared" si="10"/>
        <v>5</v>
      </c>
      <c r="E25" s="1">
        <f t="shared" si="11"/>
        <v>2021</v>
      </c>
      <c r="F25" s="3">
        <f t="shared" si="3"/>
        <v>59</v>
      </c>
      <c r="G25" s="3">
        <f t="shared" si="12"/>
        <v>21</v>
      </c>
      <c r="H25" s="4">
        <f t="shared" si="4"/>
        <v>190657.06466409375</v>
      </c>
      <c r="L25" s="25" t="str">
        <f t="shared" ca="1" si="5"/>
        <v/>
      </c>
      <c r="M25" s="4">
        <f t="shared" si="6"/>
        <v>190657.06466409375</v>
      </c>
      <c r="N25" s="5">
        <v>0</v>
      </c>
      <c r="O25" s="6">
        <f t="shared" si="7"/>
        <v>2.87E-2</v>
      </c>
      <c r="P25" s="4">
        <f t="shared" si="0"/>
        <v>455.98814632162424</v>
      </c>
      <c r="Q25" s="7">
        <f t="shared" si="8"/>
        <v>934.95487455811519</v>
      </c>
      <c r="R25" s="4">
        <f t="shared" si="13"/>
        <v>478.96672823649095</v>
      </c>
      <c r="S25" s="4">
        <f t="shared" si="1"/>
        <v>190178.09793585725</v>
      </c>
      <c r="T25" s="4">
        <f t="shared" si="14"/>
        <v>0</v>
      </c>
      <c r="U25" s="4">
        <f t="shared" si="9"/>
        <v>190178.09793585725</v>
      </c>
      <c r="W25" s="26">
        <f t="shared" si="15"/>
        <v>0</v>
      </c>
      <c r="X25" s="27">
        <f t="shared" si="16"/>
        <v>0</v>
      </c>
      <c r="AA25" s="67">
        <f t="shared" si="64"/>
        <v>1.7500000000000002E-2</v>
      </c>
      <c r="AB25" s="1">
        <f t="shared" si="62"/>
        <v>4</v>
      </c>
      <c r="AC25" s="77">
        <f t="shared" ca="1" si="63"/>
        <v>44957</v>
      </c>
      <c r="AE25" s="91" t="str">
        <f t="shared" ca="1" si="50"/>
        <v/>
      </c>
      <c r="AF25" s="70">
        <f t="shared" si="41"/>
        <v>44781</v>
      </c>
      <c r="AG25" s="10">
        <f>AG24+3</f>
        <v>44781</v>
      </c>
      <c r="AH25" s="29">
        <v>3.0100000000000001E-3</v>
      </c>
      <c r="AI25" s="87" t="str">
        <f t="shared" ca="1" si="24"/>
        <v/>
      </c>
      <c r="AJ25" s="76">
        <f t="shared" ca="1" si="25"/>
        <v>30.1</v>
      </c>
      <c r="AK25" s="76">
        <f t="shared" ca="1" si="42"/>
        <v>2.4000000000000021</v>
      </c>
      <c r="AL25" s="76">
        <f t="shared" ca="1" si="52"/>
        <v>0.98571428571428599</v>
      </c>
      <c r="AM25" s="11">
        <f t="shared" si="26"/>
        <v>30.1</v>
      </c>
      <c r="AN25" s="11">
        <f t="shared" si="27"/>
        <v>526.06271195130091</v>
      </c>
      <c r="AO25" s="11">
        <f t="shared" si="28"/>
        <v>14.47662447858977</v>
      </c>
      <c r="AP25" s="12">
        <f t="shared" si="29"/>
        <v>2.8297533559025836E-2</v>
      </c>
      <c r="AQ25" s="11">
        <f t="shared" si="30"/>
        <v>444.64857911532056</v>
      </c>
      <c r="AR25" s="11">
        <f t="shared" si="31"/>
        <v>14.927853046296548</v>
      </c>
      <c r="AS25" s="12">
        <f t="shared" si="32"/>
        <v>3.4738499077884268E-2</v>
      </c>
      <c r="AT25" s="11">
        <f t="shared" si="33"/>
        <v>391.02580110822441</v>
      </c>
      <c r="AU25" s="11">
        <f t="shared" si="34"/>
        <v>15.376677396104355</v>
      </c>
      <c r="AV25" s="12">
        <f t="shared" si="35"/>
        <v>4.0933617105648627E-2</v>
      </c>
      <c r="AW25" s="10">
        <f t="shared" si="36"/>
        <v>44781</v>
      </c>
      <c r="AX25" s="76">
        <f t="shared" si="58"/>
        <v>99853.971115875378</v>
      </c>
      <c r="AY25" s="75">
        <f t="shared" si="44"/>
        <v>14.590374742954674</v>
      </c>
      <c r="AZ25" s="75">
        <f t="shared" si="37"/>
        <v>6.6231907964803911</v>
      </c>
      <c r="BA25" s="75">
        <f t="shared" si="59"/>
        <v>7.9671839464742833</v>
      </c>
      <c r="BB25" s="75">
        <f t="shared" si="60"/>
        <v>99846.003931928906</v>
      </c>
      <c r="BC25" s="12"/>
      <c r="BD25" s="82">
        <f t="shared" si="47"/>
        <v>21</v>
      </c>
      <c r="BE25" s="83">
        <f t="shared" si="48"/>
        <v>5.2500000000000012E-2</v>
      </c>
      <c r="BF25" s="10">
        <f t="shared" si="54"/>
        <v>44881</v>
      </c>
      <c r="BG25" s="11" t="s">
        <v>71</v>
      </c>
      <c r="BH25" s="11" t="str">
        <f t="shared" ca="1" si="18"/>
        <v/>
      </c>
      <c r="BI25" s="11">
        <f t="shared" ca="1" si="19"/>
        <v>582.65245829479113</v>
      </c>
      <c r="BJ25" s="11">
        <f t="shared" ca="1" si="20"/>
        <v>503.43460315547838</v>
      </c>
      <c r="BK25" s="11" t="e">
        <f t="shared" ca="1" si="55"/>
        <v>#VALUE!</v>
      </c>
      <c r="BL25" s="11">
        <f t="shared" ca="1" si="56"/>
        <v>71.066370822079989</v>
      </c>
      <c r="BM25" s="11">
        <f t="shared" ca="1" si="57"/>
        <v>73.713877086454374</v>
      </c>
      <c r="BN25" s="28">
        <f t="shared" ca="1" si="21"/>
        <v>143.2332155477045</v>
      </c>
      <c r="BO25" s="28">
        <f t="shared" ca="1" si="22"/>
        <v>0.13891380661494393</v>
      </c>
      <c r="BP25" s="28">
        <f t="shared" ca="1" si="23"/>
        <v>0.17153903131638584</v>
      </c>
    </row>
    <row r="26" spans="1:68">
      <c r="C26" s="3">
        <f t="shared" si="2"/>
        <v>2</v>
      </c>
      <c r="D26" s="3">
        <f t="shared" si="10"/>
        <v>6</v>
      </c>
      <c r="E26" s="1">
        <f t="shared" si="11"/>
        <v>2021</v>
      </c>
      <c r="F26" s="3">
        <f t="shared" si="3"/>
        <v>59</v>
      </c>
      <c r="G26" s="3">
        <f t="shared" si="12"/>
        <v>22</v>
      </c>
      <c r="H26" s="4">
        <f t="shared" si="4"/>
        <v>190178.09793585725</v>
      </c>
      <c r="L26" s="25" t="str">
        <f t="shared" ca="1" si="5"/>
        <v/>
      </c>
      <c r="M26" s="4">
        <f t="shared" si="6"/>
        <v>190178.09793585725</v>
      </c>
      <c r="N26" s="5">
        <v>0</v>
      </c>
      <c r="O26" s="6">
        <f t="shared" si="7"/>
        <v>2.87E-2</v>
      </c>
      <c r="P26" s="4">
        <f t="shared" si="0"/>
        <v>454.84261756325856</v>
      </c>
      <c r="Q26" s="7">
        <f t="shared" si="8"/>
        <v>934.95487455811542</v>
      </c>
      <c r="R26" s="4">
        <f t="shared" si="13"/>
        <v>480.11225699485686</v>
      </c>
      <c r="S26" s="4">
        <f t="shared" si="1"/>
        <v>189697.9856788624</v>
      </c>
      <c r="T26" s="4">
        <f t="shared" si="14"/>
        <v>0</v>
      </c>
      <c r="U26" s="4">
        <f t="shared" si="9"/>
        <v>189697.9856788624</v>
      </c>
      <c r="W26" s="26">
        <f t="shared" si="15"/>
        <v>0</v>
      </c>
      <c r="X26" s="27">
        <f t="shared" si="16"/>
        <v>0</v>
      </c>
      <c r="AA26" s="67">
        <f t="shared" si="64"/>
        <v>0.02</v>
      </c>
      <c r="AB26" s="1">
        <f t="shared" si="62"/>
        <v>5</v>
      </c>
      <c r="AC26" s="77">
        <f t="shared" ca="1" si="63"/>
        <v>44985</v>
      </c>
      <c r="AE26" s="91" t="str">
        <f t="shared" ca="1" si="50"/>
        <v/>
      </c>
      <c r="AF26" s="70">
        <f t="shared" si="41"/>
        <v>44782</v>
      </c>
      <c r="AG26" s="10">
        <f>AG25+1</f>
        <v>44782</v>
      </c>
      <c r="AH26" s="29">
        <v>3.2100000000000002E-3</v>
      </c>
      <c r="AI26" s="87" t="str">
        <f t="shared" ca="1" si="24"/>
        <v/>
      </c>
      <c r="AJ26" s="76">
        <f t="shared" ca="1" si="25"/>
        <v>32.1</v>
      </c>
      <c r="AK26" s="76">
        <f t="shared" ca="1" si="42"/>
        <v>2</v>
      </c>
      <c r="AL26" s="76">
        <f t="shared" ca="1" si="52"/>
        <v>1.0714285714285718</v>
      </c>
      <c r="AM26" s="11">
        <f t="shared" si="26"/>
        <v>32.1</v>
      </c>
      <c r="AN26" s="11">
        <f t="shared" si="27"/>
        <v>527.03331456951548</v>
      </c>
      <c r="AO26" s="11">
        <f t="shared" si="28"/>
        <v>15.44722709680434</v>
      </c>
      <c r="AP26" s="12">
        <f t="shared" si="29"/>
        <v>3.0194775571625219E-2</v>
      </c>
      <c r="AQ26" s="11">
        <f t="shared" si="30"/>
        <v>445.65120801751044</v>
      </c>
      <c r="AR26" s="11">
        <f t="shared" si="31"/>
        <v>15.930481948486431</v>
      </c>
      <c r="AS26" s="12">
        <f t="shared" si="32"/>
        <v>3.7071709559402526E-2</v>
      </c>
      <c r="AT26" s="11">
        <f t="shared" si="33"/>
        <v>392.06021231471192</v>
      </c>
      <c r="AU26" s="11">
        <f t="shared" si="34"/>
        <v>16.41108860259186</v>
      </c>
      <c r="AV26" s="12">
        <f t="shared" si="35"/>
        <v>4.3687280407896149E-2</v>
      </c>
      <c r="AW26" s="10">
        <f t="shared" si="36"/>
        <v>44782</v>
      </c>
      <c r="AX26" s="76">
        <f t="shared" si="58"/>
        <v>99846.003931928906</v>
      </c>
      <c r="AY26" s="75">
        <f t="shared" si="44"/>
        <v>14.619714659588716</v>
      </c>
      <c r="AZ26" s="75">
        <f t="shared" si="37"/>
        <v>6.6773724821325606</v>
      </c>
      <c r="BA26" s="75">
        <f t="shared" si="59"/>
        <v>7.9423421774561556</v>
      </c>
      <c r="BB26" s="75">
        <f t="shared" si="60"/>
        <v>99838.061589751451</v>
      </c>
      <c r="BC26" s="12"/>
      <c r="BD26" s="82">
        <f t="shared" si="47"/>
        <v>22</v>
      </c>
      <c r="BE26" s="83">
        <f t="shared" si="48"/>
        <v>5.5000000000000014E-2</v>
      </c>
      <c r="BF26" s="10">
        <f t="shared" si="54"/>
        <v>44888</v>
      </c>
      <c r="BG26" s="11" t="s">
        <v>72</v>
      </c>
      <c r="BH26" s="11" t="str">
        <f t="shared" ca="1" si="18"/>
        <v/>
      </c>
      <c r="BI26" s="11">
        <f t="shared" ca="1" si="19"/>
        <v>584.75746862793198</v>
      </c>
      <c r="BJ26" s="11">
        <f t="shared" ca="1" si="20"/>
        <v>505.63294538759834</v>
      </c>
      <c r="BK26" s="11" t="e">
        <f t="shared" ca="1" si="55"/>
        <v>#VALUE!</v>
      </c>
      <c r="BL26" s="11">
        <f t="shared" ca="1" si="56"/>
        <v>73.171381155220843</v>
      </c>
      <c r="BM26" s="11">
        <f t="shared" ca="1" si="57"/>
        <v>75.91221931857433</v>
      </c>
      <c r="BN26" s="28">
        <f t="shared" ca="1" si="21"/>
        <v>147.3144876325083</v>
      </c>
      <c r="BO26" s="28">
        <f t="shared" ca="1" si="22"/>
        <v>0.14302848131913659</v>
      </c>
      <c r="BP26" s="28">
        <f t="shared" ca="1" si="23"/>
        <v>0.17665477765757315</v>
      </c>
    </row>
    <row r="27" spans="1:68">
      <c r="C27" s="3">
        <f t="shared" si="2"/>
        <v>2</v>
      </c>
      <c r="D27" s="3">
        <f t="shared" si="10"/>
        <v>7</v>
      </c>
      <c r="E27" s="1">
        <f t="shared" si="11"/>
        <v>2021</v>
      </c>
      <c r="F27" s="3">
        <f t="shared" si="3"/>
        <v>59</v>
      </c>
      <c r="G27" s="3">
        <f t="shared" si="12"/>
        <v>23</v>
      </c>
      <c r="H27" s="4">
        <f t="shared" si="4"/>
        <v>189697.9856788624</v>
      </c>
      <c r="L27" s="25" t="str">
        <f t="shared" ca="1" si="5"/>
        <v/>
      </c>
      <c r="M27" s="4">
        <f t="shared" si="6"/>
        <v>189697.9856788624</v>
      </c>
      <c r="N27" s="5">
        <v>0</v>
      </c>
      <c r="O27" s="6">
        <f t="shared" si="7"/>
        <v>2.87E-2</v>
      </c>
      <c r="P27" s="4">
        <f t="shared" si="0"/>
        <v>453.69434908194586</v>
      </c>
      <c r="Q27" s="7">
        <f t="shared" si="8"/>
        <v>934.95487455811553</v>
      </c>
      <c r="R27" s="4">
        <f t="shared" si="13"/>
        <v>481.26052547616968</v>
      </c>
      <c r="S27" s="4">
        <f t="shared" si="1"/>
        <v>189216.72515338624</v>
      </c>
      <c r="T27" s="4">
        <f t="shared" si="14"/>
        <v>0</v>
      </c>
      <c r="U27" s="4">
        <f t="shared" si="9"/>
        <v>189216.72515338624</v>
      </c>
      <c r="W27" s="26">
        <f t="shared" si="15"/>
        <v>0</v>
      </c>
      <c r="X27" s="27">
        <f t="shared" si="16"/>
        <v>0</v>
      </c>
      <c r="AA27" s="67">
        <f t="shared" si="64"/>
        <v>2.2499999999999999E-2</v>
      </c>
      <c r="AB27" s="1">
        <f t="shared" si="62"/>
        <v>6</v>
      </c>
      <c r="AC27" s="77">
        <f t="shared" ca="1" si="63"/>
        <v>45016</v>
      </c>
      <c r="AE27" s="91" t="str">
        <f t="shared" ca="1" si="50"/>
        <v/>
      </c>
      <c r="AF27" s="70">
        <f t="shared" si="41"/>
        <v>44783</v>
      </c>
      <c r="AG27" s="10">
        <f t="shared" ref="AG27:AG29" si="65">AG26+1</f>
        <v>44783</v>
      </c>
      <c r="AH27" s="29">
        <v>3.2499999999999999E-3</v>
      </c>
      <c r="AI27" s="87" t="str">
        <f t="shared" ca="1" si="24"/>
        <v/>
      </c>
      <c r="AJ27" s="76">
        <f t="shared" ca="1" si="25"/>
        <v>32.5</v>
      </c>
      <c r="AK27" s="76">
        <f t="shared" ca="1" si="42"/>
        <v>0.39999999999999858</v>
      </c>
      <c r="AL27" s="76">
        <f t="shared" ca="1" si="52"/>
        <v>0.9285714285714286</v>
      </c>
      <c r="AM27" s="11">
        <f t="shared" si="26"/>
        <v>32.5</v>
      </c>
      <c r="AN27" s="11">
        <f t="shared" si="27"/>
        <v>527.22756491521136</v>
      </c>
      <c r="AO27" s="11">
        <f t="shared" si="28"/>
        <v>15.641477442500218</v>
      </c>
      <c r="AP27" s="12">
        <f t="shared" si="29"/>
        <v>3.0574477737990793E-2</v>
      </c>
      <c r="AQ27" s="11">
        <f t="shared" si="30"/>
        <v>445.85189394137905</v>
      </c>
      <c r="AR27" s="11">
        <f t="shared" si="31"/>
        <v>16.131167872355036</v>
      </c>
      <c r="AS27" s="12">
        <f t="shared" si="32"/>
        <v>3.7538724324327706E-2</v>
      </c>
      <c r="AT27" s="11">
        <f t="shared" si="33"/>
        <v>392.26728365146482</v>
      </c>
      <c r="AU27" s="11">
        <f t="shared" si="34"/>
        <v>16.618159939344764</v>
      </c>
      <c r="AV27" s="12">
        <f t="shared" si="35"/>
        <v>4.4238516451538819E-2</v>
      </c>
      <c r="AW27" s="10">
        <f t="shared" si="36"/>
        <v>44783</v>
      </c>
      <c r="AX27" s="76">
        <f t="shared" si="58"/>
        <v>99838.061589751451</v>
      </c>
      <c r="AY27" s="75">
        <f t="shared" si="44"/>
        <v>14.625122780486711</v>
      </c>
      <c r="AZ27" s="75">
        <f t="shared" si="37"/>
        <v>6.6877824818340352</v>
      </c>
      <c r="BA27" s="75">
        <f t="shared" si="59"/>
        <v>7.9373402986526758</v>
      </c>
      <c r="BB27" s="75">
        <f t="shared" si="60"/>
        <v>99830.124249452798</v>
      </c>
      <c r="BC27" s="12"/>
      <c r="BD27" s="82">
        <f t="shared" si="47"/>
        <v>23</v>
      </c>
      <c r="BE27" s="83">
        <f t="shared" si="48"/>
        <v>5.7500000000000016E-2</v>
      </c>
      <c r="BF27" s="10">
        <f t="shared" si="54"/>
        <v>44895</v>
      </c>
      <c r="BG27" s="11" t="s">
        <v>73</v>
      </c>
      <c r="BH27" s="11" t="str">
        <f t="shared" ca="1" si="18"/>
        <v/>
      </c>
      <c r="BI27" s="11">
        <f t="shared" ca="1" si="19"/>
        <v>586.86685499397788</v>
      </c>
      <c r="BJ27" s="11">
        <f t="shared" ca="1" si="20"/>
        <v>507.83660344143249</v>
      </c>
      <c r="BK27" s="11" t="e">
        <f t="shared" ca="1" si="55"/>
        <v>#VALUE!</v>
      </c>
      <c r="BL27" s="11">
        <f t="shared" ca="1" si="56"/>
        <v>75.280767521266739</v>
      </c>
      <c r="BM27" s="11">
        <f t="shared" ca="1" si="57"/>
        <v>78.115877372408477</v>
      </c>
      <c r="BN27" s="28">
        <f t="shared" ca="1" si="21"/>
        <v>151.39575971730324</v>
      </c>
      <c r="BO27" s="28">
        <f t="shared" ca="1" si="22"/>
        <v>0.14715170987772871</v>
      </c>
      <c r="BP27" s="28">
        <f t="shared" ca="1" si="23"/>
        <v>0.18178289440910303</v>
      </c>
    </row>
    <row r="28" spans="1:68">
      <c r="C28" s="3">
        <f t="shared" si="2"/>
        <v>2</v>
      </c>
      <c r="D28" s="3">
        <f t="shared" si="10"/>
        <v>8</v>
      </c>
      <c r="E28" s="1">
        <f t="shared" si="11"/>
        <v>2021</v>
      </c>
      <c r="F28" s="3">
        <f t="shared" si="3"/>
        <v>59</v>
      </c>
      <c r="G28" s="3">
        <f t="shared" si="12"/>
        <v>24</v>
      </c>
      <c r="H28" s="4">
        <f t="shared" si="4"/>
        <v>189216.72515338624</v>
      </c>
      <c r="L28" s="25" t="str">
        <f t="shared" ca="1" si="5"/>
        <v/>
      </c>
      <c r="M28" s="4">
        <f t="shared" si="6"/>
        <v>189216.72515338624</v>
      </c>
      <c r="N28" s="5">
        <v>0</v>
      </c>
      <c r="O28" s="6">
        <f t="shared" si="7"/>
        <v>2.87E-2</v>
      </c>
      <c r="P28" s="4">
        <f t="shared" si="0"/>
        <v>452.54333432518206</v>
      </c>
      <c r="Q28" s="7">
        <f t="shared" si="8"/>
        <v>934.95487455811531</v>
      </c>
      <c r="R28" s="4">
        <f t="shared" si="13"/>
        <v>482.41154023293325</v>
      </c>
      <c r="S28" s="4">
        <f t="shared" si="1"/>
        <v>188734.31361315332</v>
      </c>
      <c r="T28" s="4">
        <f t="shared" si="14"/>
        <v>0</v>
      </c>
      <c r="U28" s="4">
        <f t="shared" si="9"/>
        <v>188734.31361315332</v>
      </c>
      <c r="W28" s="26">
        <f t="shared" si="15"/>
        <v>0</v>
      </c>
      <c r="X28" s="27">
        <f t="shared" si="16"/>
        <v>0</v>
      </c>
      <c r="AA28" s="67">
        <f t="shared" si="64"/>
        <v>2.4999999999999998E-2</v>
      </c>
      <c r="AB28" s="1">
        <f t="shared" si="62"/>
        <v>7</v>
      </c>
      <c r="AC28" s="77">
        <v>45044</v>
      </c>
      <c r="AE28" s="91" t="str">
        <f t="shared" ca="1" si="50"/>
        <v/>
      </c>
      <c r="AF28" s="70">
        <f t="shared" si="41"/>
        <v>44784</v>
      </c>
      <c r="AG28" s="10">
        <f t="shared" si="65"/>
        <v>44784</v>
      </c>
      <c r="AH28" s="29">
        <v>3.2100000000000002E-3</v>
      </c>
      <c r="AI28" s="87" t="str">
        <f t="shared" ca="1" si="24"/>
        <v/>
      </c>
      <c r="AJ28" s="76">
        <f t="shared" ca="1" si="25"/>
        <v>32.1</v>
      </c>
      <c r="AK28" s="76">
        <f t="shared" ca="1" si="42"/>
        <v>-0.39999999999999858</v>
      </c>
      <c r="AL28" s="76">
        <f t="shared" ca="1" si="52"/>
        <v>0.98571428571428599</v>
      </c>
      <c r="AM28" s="11">
        <f t="shared" si="26"/>
        <v>32.1</v>
      </c>
      <c r="AN28" s="11">
        <f t="shared" si="27"/>
        <v>527.03331456951548</v>
      </c>
      <c r="AO28" s="11">
        <f t="shared" si="28"/>
        <v>15.44722709680434</v>
      </c>
      <c r="AP28" s="12">
        <f t="shared" si="29"/>
        <v>3.0194775571625219E-2</v>
      </c>
      <c r="AQ28" s="11">
        <f t="shared" si="30"/>
        <v>445.65120801751044</v>
      </c>
      <c r="AR28" s="11">
        <f t="shared" si="31"/>
        <v>15.930481948486431</v>
      </c>
      <c r="AS28" s="12">
        <f t="shared" si="32"/>
        <v>3.7071709559402526E-2</v>
      </c>
      <c r="AT28" s="11">
        <f t="shared" si="33"/>
        <v>392.06021231471192</v>
      </c>
      <c r="AU28" s="11">
        <f t="shared" si="34"/>
        <v>16.41108860259186</v>
      </c>
      <c r="AV28" s="12">
        <f t="shared" si="35"/>
        <v>4.3687280407896149E-2</v>
      </c>
      <c r="AW28" s="10">
        <f t="shared" si="36"/>
        <v>44784</v>
      </c>
      <c r="AX28" s="76">
        <f t="shared" si="58"/>
        <v>99830.124249452798</v>
      </c>
      <c r="AY28" s="75">
        <f t="shared" si="44"/>
        <v>14.617389514690139</v>
      </c>
      <c r="AZ28" s="75">
        <f t="shared" si="37"/>
        <v>6.6763105011757347</v>
      </c>
      <c r="BA28" s="75">
        <f t="shared" si="59"/>
        <v>7.941079013514404</v>
      </c>
      <c r="BB28" s="75">
        <f t="shared" si="60"/>
        <v>99822.183170439283</v>
      </c>
      <c r="BC28" s="12"/>
      <c r="BD28" s="82">
        <f t="shared" si="47"/>
        <v>24</v>
      </c>
      <c r="BE28" s="83">
        <f>BE27+0.0025</f>
        <v>6.0000000000000019E-2</v>
      </c>
      <c r="BF28" s="10">
        <f t="shared" si="54"/>
        <v>44902</v>
      </c>
      <c r="BG28" s="11" t="s">
        <v>74</v>
      </c>
      <c r="BH28" s="11" t="str">
        <f t="shared" ca="1" si="18"/>
        <v/>
      </c>
      <c r="BI28" s="11">
        <f t="shared" ca="1" si="19"/>
        <v>588.98061208419631</v>
      </c>
      <c r="BJ28" s="11">
        <f t="shared" ca="1" si="20"/>
        <v>510.04556744849361</v>
      </c>
      <c r="BK28" s="11" t="e">
        <f t="shared" ca="1" si="55"/>
        <v>#VALUE!</v>
      </c>
      <c r="BL28" s="11">
        <f t="shared" ca="1" si="56"/>
        <v>77.394524611485167</v>
      </c>
      <c r="BM28" s="11">
        <f t="shared" ca="1" si="57"/>
        <v>80.324841379469603</v>
      </c>
      <c r="BN28" s="28">
        <f t="shared" ca="1" si="21"/>
        <v>155.47703180210704</v>
      </c>
      <c r="BO28" s="28">
        <f t="shared" ca="1" si="22"/>
        <v>0.15128348191371316</v>
      </c>
      <c r="BP28" s="28">
        <f t="shared" ca="1" si="23"/>
        <v>0.18692335860609013</v>
      </c>
    </row>
    <row r="29" spans="1:68">
      <c r="C29" s="3">
        <f t="shared" si="2"/>
        <v>3</v>
      </c>
      <c r="D29" s="3">
        <f t="shared" si="10"/>
        <v>9</v>
      </c>
      <c r="E29" s="1">
        <f t="shared" si="11"/>
        <v>2021</v>
      </c>
      <c r="F29" s="3">
        <f t="shared" si="3"/>
        <v>59</v>
      </c>
      <c r="G29" s="3">
        <f t="shared" si="12"/>
        <v>25</v>
      </c>
      <c r="H29" s="4">
        <f t="shared" si="4"/>
        <v>188734.31361315332</v>
      </c>
      <c r="L29" s="25" t="str">
        <f t="shared" ca="1" si="5"/>
        <v/>
      </c>
      <c r="M29" s="4">
        <f t="shared" si="6"/>
        <v>188734.31361315332</v>
      </c>
      <c r="N29" s="5">
        <v>0</v>
      </c>
      <c r="O29" s="6">
        <f t="shared" si="7"/>
        <v>2.87E-2</v>
      </c>
      <c r="P29" s="4">
        <f t="shared" si="0"/>
        <v>451.38956672479168</v>
      </c>
      <c r="Q29" s="7">
        <f t="shared" si="8"/>
        <v>934.95487455811542</v>
      </c>
      <c r="R29" s="4">
        <f t="shared" si="13"/>
        <v>483.56530783332374</v>
      </c>
      <c r="S29" s="4">
        <f t="shared" si="1"/>
        <v>188250.74830532001</v>
      </c>
      <c r="T29" s="4">
        <f t="shared" si="14"/>
        <v>0</v>
      </c>
      <c r="U29" s="4">
        <f t="shared" si="9"/>
        <v>188250.74830532001</v>
      </c>
      <c r="W29" s="26">
        <f t="shared" si="15"/>
        <v>0</v>
      </c>
      <c r="X29" s="27">
        <f t="shared" si="16"/>
        <v>0</v>
      </c>
      <c r="AA29" s="67">
        <f t="shared" si="64"/>
        <v>2.7499999999999997E-2</v>
      </c>
      <c r="AB29" s="1">
        <f t="shared" si="62"/>
        <v>8</v>
      </c>
      <c r="AC29" s="77">
        <f t="shared" ca="1" si="63"/>
        <v>45077</v>
      </c>
      <c r="AE29" s="91" t="str">
        <f t="shared" ca="1" si="50"/>
        <v/>
      </c>
      <c r="AF29" s="70">
        <f t="shared" si="41"/>
        <v>44785</v>
      </c>
      <c r="AG29" s="10">
        <f t="shared" si="65"/>
        <v>44785</v>
      </c>
      <c r="AH29" s="29">
        <v>3.3300000000000001E-3</v>
      </c>
      <c r="AI29" s="87" t="str">
        <f t="shared" ca="1" si="24"/>
        <v/>
      </c>
      <c r="AJ29" s="76">
        <f t="shared" ca="1" si="25"/>
        <v>33.299999999999997</v>
      </c>
      <c r="AK29" s="76">
        <f t="shared" ca="1" si="42"/>
        <v>1.1999999999999957</v>
      </c>
      <c r="AL29" s="76">
        <f t="shared" ca="1" si="52"/>
        <v>0.91428571428571359</v>
      </c>
      <c r="AM29" s="11">
        <f t="shared" si="26"/>
        <v>33.299999999999997</v>
      </c>
      <c r="AN29" s="11">
        <f t="shared" si="27"/>
        <v>527.61619540014397</v>
      </c>
      <c r="AO29" s="11">
        <f t="shared" si="28"/>
        <v>16.030107927432823</v>
      </c>
      <c r="AP29" s="12">
        <f t="shared" si="29"/>
        <v>3.1334135778834871E-2</v>
      </c>
      <c r="AQ29" s="11">
        <f t="shared" si="30"/>
        <v>446.25342587887781</v>
      </c>
      <c r="AR29" s="11">
        <f t="shared" si="31"/>
        <v>16.532699809853796</v>
      </c>
      <c r="AS29" s="12">
        <f t="shared" si="32"/>
        <v>3.8473126397906683E-2</v>
      </c>
      <c r="AT29" s="11">
        <f t="shared" si="33"/>
        <v>392.68161533052313</v>
      </c>
      <c r="AU29" s="11">
        <f t="shared" si="34"/>
        <v>17.032491618403071</v>
      </c>
      <c r="AV29" s="12">
        <f t="shared" si="35"/>
        <v>4.5341491682690513E-2</v>
      </c>
      <c r="AW29" s="10">
        <f t="shared" si="36"/>
        <v>44785</v>
      </c>
      <c r="AX29" s="76">
        <f t="shared" si="58"/>
        <v>99822.183170439283</v>
      </c>
      <c r="AY29" s="75">
        <f t="shared" si="44"/>
        <v>14.635942072920189</v>
      </c>
      <c r="AZ29" s="75">
        <f t="shared" si="37"/>
        <v>6.7085976799202074</v>
      </c>
      <c r="BA29" s="75">
        <f t="shared" si="59"/>
        <v>7.9273443929999816</v>
      </c>
      <c r="BB29" s="75">
        <f t="shared" si="60"/>
        <v>99814.255826046283</v>
      </c>
      <c r="BC29" s="12"/>
      <c r="BD29" s="82">
        <f t="shared" si="47"/>
        <v>25</v>
      </c>
      <c r="BE29" s="83">
        <f t="shared" si="48"/>
        <v>6.2500000000000014E-2</v>
      </c>
      <c r="BF29" s="10">
        <f t="shared" si="54"/>
        <v>44909</v>
      </c>
      <c r="BG29" s="11" t="s">
        <v>75</v>
      </c>
      <c r="BH29" s="11" t="str">
        <f t="shared" ca="1" si="18"/>
        <v/>
      </c>
      <c r="BI29" s="11">
        <f t="shared" ca="1" si="19"/>
        <v>591.09873454041144</v>
      </c>
      <c r="BJ29" s="11">
        <f t="shared" ca="1" si="20"/>
        <v>512.2598274543675</v>
      </c>
      <c r="BK29" s="11" t="e">
        <f t="shared" ca="1" si="55"/>
        <v>#VALUE!</v>
      </c>
      <c r="BL29" s="11">
        <f t="shared" ca="1" si="56"/>
        <v>79.5126470677003</v>
      </c>
      <c r="BM29" s="11">
        <f t="shared" ca="1" si="57"/>
        <v>82.539101385343486</v>
      </c>
      <c r="BN29" s="28">
        <f t="shared" ca="1" si="21"/>
        <v>159.55830388691527</v>
      </c>
      <c r="BO29" s="28">
        <f t="shared" ca="1" si="22"/>
        <v>0.15542378695343556</v>
      </c>
      <c r="BP29" s="28">
        <f t="shared" ca="1" si="23"/>
        <v>0.192076147083689</v>
      </c>
    </row>
    <row r="30" spans="1:68">
      <c r="C30" s="3">
        <f t="shared" si="2"/>
        <v>3</v>
      </c>
      <c r="D30" s="3">
        <f t="shared" si="10"/>
        <v>10</v>
      </c>
      <c r="E30" s="1">
        <f t="shared" si="11"/>
        <v>2021</v>
      </c>
      <c r="F30" s="3">
        <f t="shared" si="3"/>
        <v>59</v>
      </c>
      <c r="G30" s="3">
        <f t="shared" si="12"/>
        <v>26</v>
      </c>
      <c r="H30" s="4">
        <f t="shared" si="4"/>
        <v>188250.74830532001</v>
      </c>
      <c r="L30" s="25" t="str">
        <f t="shared" ca="1" si="5"/>
        <v/>
      </c>
      <c r="M30" s="4">
        <f t="shared" si="6"/>
        <v>188250.74830532001</v>
      </c>
      <c r="N30" s="5">
        <v>0</v>
      </c>
      <c r="O30" s="6">
        <f t="shared" si="7"/>
        <v>2.87E-2</v>
      </c>
      <c r="P30" s="4">
        <f t="shared" si="0"/>
        <v>450.23303969689033</v>
      </c>
      <c r="Q30" s="7">
        <f t="shared" si="8"/>
        <v>934.95487455811553</v>
      </c>
      <c r="R30" s="4">
        <f t="shared" si="13"/>
        <v>484.7218348612252</v>
      </c>
      <c r="S30" s="4">
        <f t="shared" si="1"/>
        <v>187766.02647045878</v>
      </c>
      <c r="T30" s="4">
        <f t="shared" si="14"/>
        <v>0</v>
      </c>
      <c r="U30" s="4">
        <f t="shared" si="9"/>
        <v>187766.02647045878</v>
      </c>
      <c r="W30" s="26">
        <f t="shared" si="15"/>
        <v>0</v>
      </c>
      <c r="X30" s="27">
        <f t="shared" si="16"/>
        <v>0</v>
      </c>
      <c r="AA30" s="67">
        <f t="shared" si="64"/>
        <v>2.9999999999999995E-2</v>
      </c>
      <c r="AB30" s="1">
        <f t="shared" si="62"/>
        <v>9</v>
      </c>
      <c r="AC30" s="77">
        <f t="shared" ca="1" si="63"/>
        <v>45107</v>
      </c>
      <c r="AE30" s="91" t="str">
        <f t="shared" ca="1" si="50"/>
        <v/>
      </c>
      <c r="AF30" s="70">
        <f t="shared" si="41"/>
        <v>44788</v>
      </c>
      <c r="AG30" s="10">
        <f>AG29+3</f>
        <v>44788</v>
      </c>
      <c r="AH30" s="29">
        <v>3.3899999999999998E-3</v>
      </c>
      <c r="AI30" s="87" t="str">
        <f t="shared" ca="1" si="24"/>
        <v/>
      </c>
      <c r="AJ30" s="76">
        <f t="shared" ca="1" si="25"/>
        <v>33.9</v>
      </c>
      <c r="AK30" s="76">
        <f t="shared" ca="1" si="42"/>
        <v>0.60000000000000142</v>
      </c>
      <c r="AL30" s="76">
        <f t="shared" ca="1" si="52"/>
        <v>0.88571428571428557</v>
      </c>
      <c r="AM30" s="11">
        <f t="shared" si="26"/>
        <v>33.9</v>
      </c>
      <c r="AN30" s="11">
        <f t="shared" si="27"/>
        <v>527.90778181903579</v>
      </c>
      <c r="AO30" s="11">
        <f t="shared" si="28"/>
        <v>16.321694346324648</v>
      </c>
      <c r="AP30" s="12">
        <f t="shared" si="29"/>
        <v>3.1904101276396174E-2</v>
      </c>
      <c r="AQ30" s="11">
        <f t="shared" si="30"/>
        <v>446.55471488397922</v>
      </c>
      <c r="AR30" s="11">
        <f t="shared" si="31"/>
        <v>16.833988814955205</v>
      </c>
      <c r="AS30" s="12">
        <f t="shared" si="32"/>
        <v>3.9174253867036518E-2</v>
      </c>
      <c r="AT30" s="11">
        <f t="shared" si="33"/>
        <v>392.99252942523299</v>
      </c>
      <c r="AU30" s="11">
        <f t="shared" si="34"/>
        <v>17.343405713112929</v>
      </c>
      <c r="AV30" s="12">
        <f t="shared" si="35"/>
        <v>4.6169163238629317E-2</v>
      </c>
      <c r="AW30" s="10">
        <f t="shared" si="36"/>
        <v>44788</v>
      </c>
      <c r="AX30" s="76">
        <f t="shared" si="58"/>
        <v>99814.255826046283</v>
      </c>
      <c r="AY30" s="75">
        <f t="shared" si="44"/>
        <v>14.646967088716369</v>
      </c>
      <c r="AZ30" s="75">
        <f t="shared" si="37"/>
        <v>6.7244727418150081</v>
      </c>
      <c r="BA30" s="75">
        <f t="shared" si="59"/>
        <v>7.9224943469013613</v>
      </c>
      <c r="BB30" s="75">
        <f t="shared" si="60"/>
        <v>99806.333331699381</v>
      </c>
      <c r="BC30" s="12"/>
      <c r="BD30" s="82">
        <f t="shared" si="47"/>
        <v>26</v>
      </c>
      <c r="BE30" s="83">
        <f t="shared" si="48"/>
        <v>6.5000000000000016E-2</v>
      </c>
      <c r="BF30" s="10">
        <f t="shared" si="54"/>
        <v>44916</v>
      </c>
      <c r="BG30" s="11" t="s">
        <v>76</v>
      </c>
      <c r="BH30" s="11" t="str">
        <f t="shared" ca="1" si="18"/>
        <v/>
      </c>
      <c r="BI30" s="11">
        <f t="shared" ca="1" si="19"/>
        <v>593.22121695507394</v>
      </c>
      <c r="BJ30" s="11">
        <f t="shared" ca="1" si="20"/>
        <v>514.47937341925422</v>
      </c>
      <c r="BK30" s="11" t="e">
        <f t="shared" ca="1" si="55"/>
        <v>#VALUE!</v>
      </c>
      <c r="BL30" s="11">
        <f t="shared" ca="1" si="56"/>
        <v>81.6351294823628</v>
      </c>
      <c r="BM30" s="11">
        <f t="shared" ca="1" si="57"/>
        <v>84.758647350230206</v>
      </c>
      <c r="BN30" s="28">
        <f t="shared" ca="1" si="21"/>
        <v>163.6395759717235</v>
      </c>
      <c r="BO30" s="28">
        <f t="shared" ca="1" si="22"/>
        <v>0.15957261442673099</v>
      </c>
      <c r="BP30" s="28">
        <f t="shared" ca="1" si="23"/>
        <v>0.19724123647835368</v>
      </c>
    </row>
    <row r="31" spans="1:68">
      <c r="C31" s="3">
        <f t="shared" si="2"/>
        <v>3</v>
      </c>
      <c r="D31" s="3">
        <f t="shared" si="10"/>
        <v>11</v>
      </c>
      <c r="E31" s="1">
        <f t="shared" si="11"/>
        <v>2021</v>
      </c>
      <c r="F31" s="3">
        <f t="shared" si="3"/>
        <v>59</v>
      </c>
      <c r="G31" s="3">
        <f t="shared" si="12"/>
        <v>27</v>
      </c>
      <c r="H31" s="4">
        <f t="shared" si="4"/>
        <v>187766.02647045878</v>
      </c>
      <c r="L31" s="25" t="str">
        <f t="shared" ca="1" si="5"/>
        <v/>
      </c>
      <c r="M31" s="4">
        <f t="shared" si="6"/>
        <v>187766.02647045878</v>
      </c>
      <c r="N31" s="5">
        <v>0</v>
      </c>
      <c r="O31" s="6">
        <f t="shared" si="7"/>
        <v>2.87E-2</v>
      </c>
      <c r="P31" s="4">
        <f t="shared" si="0"/>
        <v>449.07374664184726</v>
      </c>
      <c r="Q31" s="7">
        <f t="shared" si="8"/>
        <v>934.95487455811531</v>
      </c>
      <c r="R31" s="4">
        <f t="shared" si="13"/>
        <v>485.88112791626804</v>
      </c>
      <c r="S31" s="4">
        <f t="shared" si="1"/>
        <v>187280.1453425425</v>
      </c>
      <c r="T31" s="4">
        <f t="shared" si="14"/>
        <v>0</v>
      </c>
      <c r="U31" s="4">
        <f t="shared" si="9"/>
        <v>187280.1453425425</v>
      </c>
      <c r="W31" s="26">
        <f t="shared" si="15"/>
        <v>0</v>
      </c>
      <c r="X31" s="27">
        <f t="shared" si="16"/>
        <v>0</v>
      </c>
      <c r="AA31" s="67">
        <f t="shared" si="64"/>
        <v>3.2499999999999994E-2</v>
      </c>
      <c r="AB31" s="1">
        <f t="shared" si="62"/>
        <v>10</v>
      </c>
      <c r="AC31" s="77">
        <f t="shared" ca="1" si="63"/>
        <v>45138</v>
      </c>
      <c r="AE31" s="91" t="str">
        <f t="shared" ca="1" si="50"/>
        <v/>
      </c>
      <c r="AF31" s="70">
        <f t="shared" si="41"/>
        <v>44789</v>
      </c>
      <c r="AG31" s="10">
        <f>AG30+1</f>
        <v>44789</v>
      </c>
      <c r="AH31" s="29">
        <v>3.3300000000000001E-3</v>
      </c>
      <c r="AI31" s="87" t="str">
        <f t="shared" ca="1" si="24"/>
        <v/>
      </c>
      <c r="AJ31" s="76">
        <f t="shared" ca="1" si="25"/>
        <v>33.299999999999997</v>
      </c>
      <c r="AK31" s="76">
        <f t="shared" ca="1" si="42"/>
        <v>-0.60000000000000142</v>
      </c>
      <c r="AL31" s="76">
        <f t="shared" ca="1" si="52"/>
        <v>0.45714285714285652</v>
      </c>
      <c r="AM31" s="11">
        <f t="shared" si="26"/>
        <v>33.299999999999997</v>
      </c>
      <c r="AN31" s="11">
        <f t="shared" si="27"/>
        <v>527.61619540014397</v>
      </c>
      <c r="AO31" s="11">
        <f t="shared" si="28"/>
        <v>16.030107927432823</v>
      </c>
      <c r="AP31" s="12">
        <f t="shared" si="29"/>
        <v>3.1334135778834871E-2</v>
      </c>
      <c r="AQ31" s="11">
        <f t="shared" si="30"/>
        <v>446.25342587887781</v>
      </c>
      <c r="AR31" s="11">
        <f t="shared" si="31"/>
        <v>16.532699809853796</v>
      </c>
      <c r="AS31" s="12">
        <f t="shared" si="32"/>
        <v>3.8473126397906683E-2</v>
      </c>
      <c r="AT31" s="11">
        <f t="shared" si="33"/>
        <v>392.68161533052313</v>
      </c>
      <c r="AU31" s="11">
        <f t="shared" si="34"/>
        <v>17.032491618403071</v>
      </c>
      <c r="AV31" s="12">
        <f t="shared" si="35"/>
        <v>4.5341491682690513E-2</v>
      </c>
      <c r="AW31" s="10">
        <f t="shared" si="36"/>
        <v>44789</v>
      </c>
      <c r="AX31" s="76">
        <f t="shared" si="58"/>
        <v>99806.333331699381</v>
      </c>
      <c r="AY31" s="75">
        <f t="shared" si="44"/>
        <v>14.633618167408462</v>
      </c>
      <c r="AZ31" s="75">
        <f t="shared" si="37"/>
        <v>6.7075324839084542</v>
      </c>
      <c r="BA31" s="75">
        <f t="shared" si="59"/>
        <v>7.9260856835000082</v>
      </c>
      <c r="BB31" s="75">
        <f t="shared" si="60"/>
        <v>99798.407246015879</v>
      </c>
      <c r="BC31" s="12"/>
      <c r="BD31" s="82">
        <f t="shared" si="47"/>
        <v>27</v>
      </c>
      <c r="BE31" s="83">
        <f t="shared" si="48"/>
        <v>6.7500000000000018E-2</v>
      </c>
      <c r="BF31" s="10">
        <f t="shared" si="54"/>
        <v>44923</v>
      </c>
      <c r="BG31" s="11" t="s">
        <v>77</v>
      </c>
      <c r="BH31" s="11" t="str">
        <f t="shared" ca="1" si="18"/>
        <v/>
      </c>
      <c r="BI31" s="11">
        <f t="shared" ca="1" si="19"/>
        <v>595.34805387173151</v>
      </c>
      <c r="BJ31" s="11">
        <f t="shared" ca="1" si="20"/>
        <v>516.70419521882104</v>
      </c>
      <c r="BK31" s="11" t="e">
        <f t="shared" ca="1" si="55"/>
        <v>#VALUE!</v>
      </c>
      <c r="BL31" s="11">
        <f t="shared" ca="1" si="56"/>
        <v>83.761966399020366</v>
      </c>
      <c r="BM31" s="11">
        <f t="shared" ca="1" si="57"/>
        <v>86.983469149797031</v>
      </c>
      <c r="BN31" s="28">
        <f t="shared" ca="1" si="21"/>
        <v>167.7208480565362</v>
      </c>
      <c r="BO31" s="28">
        <f t="shared" ca="1" si="22"/>
        <v>0.16372995366784357</v>
      </c>
      <c r="BP31" s="28">
        <f t="shared" ca="1" si="23"/>
        <v>0.20241860322982255</v>
      </c>
    </row>
    <row r="32" spans="1:68" s="33" customFormat="1">
      <c r="C32" s="32">
        <f t="shared" si="2"/>
        <v>3</v>
      </c>
      <c r="D32" s="32">
        <f t="shared" si="10"/>
        <v>12</v>
      </c>
      <c r="E32" s="33">
        <f t="shared" si="11"/>
        <v>2021</v>
      </c>
      <c r="F32" s="32">
        <f t="shared" si="3"/>
        <v>59</v>
      </c>
      <c r="G32" s="32">
        <f t="shared" si="12"/>
        <v>28</v>
      </c>
      <c r="H32" s="34">
        <f t="shared" si="4"/>
        <v>187280.1453425425</v>
      </c>
      <c r="I32" s="35"/>
      <c r="J32" s="35"/>
      <c r="K32" s="35"/>
      <c r="L32" s="37" t="str">
        <f t="shared" ca="1" si="5"/>
        <v/>
      </c>
      <c r="M32" s="34">
        <f t="shared" si="6"/>
        <v>187280.1453425425</v>
      </c>
      <c r="N32" s="38">
        <v>0</v>
      </c>
      <c r="O32" s="39">
        <f t="shared" si="7"/>
        <v>2.87E-2</v>
      </c>
      <c r="P32" s="34">
        <f t="shared" si="0"/>
        <v>447.91168094424751</v>
      </c>
      <c r="Q32" s="40">
        <f t="shared" si="8"/>
        <v>934.95487455811531</v>
      </c>
      <c r="R32" s="34">
        <f t="shared" si="13"/>
        <v>487.0431936138678</v>
      </c>
      <c r="S32" s="34">
        <f t="shared" si="1"/>
        <v>186793.10214892862</v>
      </c>
      <c r="T32" s="34">
        <f t="shared" si="14"/>
        <v>0</v>
      </c>
      <c r="U32" s="34">
        <f t="shared" si="9"/>
        <v>186793.10214892862</v>
      </c>
      <c r="W32" s="41">
        <f t="shared" si="15"/>
        <v>0</v>
      </c>
      <c r="X32" s="42">
        <f t="shared" si="16"/>
        <v>0</v>
      </c>
      <c r="Z32" s="36"/>
      <c r="AA32" s="67">
        <f t="shared" si="64"/>
        <v>3.4999999999999996E-2</v>
      </c>
      <c r="AE32" s="91" t="str">
        <f t="shared" ca="1" si="50"/>
        <v/>
      </c>
      <c r="AF32" s="70">
        <f t="shared" si="41"/>
        <v>44790</v>
      </c>
      <c r="AG32" s="10">
        <f t="shared" ref="AG32:AG34" si="66">AG31+1</f>
        <v>44790</v>
      </c>
      <c r="AH32" s="29">
        <v>3.5100000000000001E-3</v>
      </c>
      <c r="AI32" s="87" t="str">
        <f t="shared" ca="1" si="24"/>
        <v/>
      </c>
      <c r="AJ32" s="76">
        <f t="shared" ca="1" si="25"/>
        <v>35.1</v>
      </c>
      <c r="AK32" s="76">
        <f t="shared" ca="1" si="42"/>
        <v>1.8000000000000043</v>
      </c>
      <c r="AL32" s="76">
        <f t="shared" ca="1" si="52"/>
        <v>0.42857142857142855</v>
      </c>
      <c r="AM32" s="11">
        <f t="shared" si="26"/>
        <v>35.1</v>
      </c>
      <c r="AN32" s="11">
        <f t="shared" si="27"/>
        <v>528.49124660350026</v>
      </c>
      <c r="AO32" s="11">
        <f t="shared" si="28"/>
        <v>16.905159130789116</v>
      </c>
      <c r="AP32" s="12">
        <f t="shared" si="29"/>
        <v>3.3044602941222218E-2</v>
      </c>
      <c r="AQ32" s="11">
        <f t="shared" si="30"/>
        <v>447.15765292917746</v>
      </c>
      <c r="AR32" s="11">
        <f t="shared" si="31"/>
        <v>17.436926860153449</v>
      </c>
      <c r="AS32" s="12">
        <f t="shared" si="32"/>
        <v>4.0577346640135382E-2</v>
      </c>
      <c r="AT32" s="11">
        <f t="shared" si="33"/>
        <v>393.61478259758775</v>
      </c>
      <c r="AU32" s="11">
        <f t="shared" si="34"/>
        <v>17.96565888546769</v>
      </c>
      <c r="AV32" s="12">
        <f t="shared" si="35"/>
        <v>4.7825637680006229E-2</v>
      </c>
      <c r="AW32" s="10">
        <f t="shared" si="36"/>
        <v>44790</v>
      </c>
      <c r="AX32" s="76">
        <f t="shared" si="58"/>
        <v>99798.407246015879</v>
      </c>
      <c r="AY32" s="75">
        <f t="shared" si="44"/>
        <v>14.662051588497807</v>
      </c>
      <c r="AZ32" s="75">
        <f t="shared" si="37"/>
        <v>6.7562154604083622</v>
      </c>
      <c r="BA32" s="75">
        <f t="shared" si="59"/>
        <v>7.9058361280894447</v>
      </c>
      <c r="BB32" s="75">
        <f t="shared" si="60"/>
        <v>99790.501409887787</v>
      </c>
      <c r="BC32" s="12"/>
      <c r="BD32" s="82">
        <f t="shared" si="47"/>
        <v>28</v>
      </c>
      <c r="BE32" s="83">
        <f t="shared" si="48"/>
        <v>7.0000000000000021E-2</v>
      </c>
      <c r="BF32" s="10">
        <f t="shared" si="54"/>
        <v>44930</v>
      </c>
      <c r="BG32" s="11" t="s">
        <v>78</v>
      </c>
      <c r="BH32" s="11" t="str">
        <f t="shared" ca="1" si="18"/>
        <v/>
      </c>
      <c r="BI32" s="11">
        <f t="shared" ca="1" si="19"/>
        <v>597.47923978507947</v>
      </c>
      <c r="BJ32" s="11">
        <f t="shared" ca="1" si="20"/>
        <v>518.9342826447305</v>
      </c>
      <c r="BK32" s="11" t="e">
        <f t="shared" ca="1" si="55"/>
        <v>#VALUE!</v>
      </c>
      <c r="BL32" s="11">
        <f t="shared" ca="1" si="56"/>
        <v>85.893152312368329</v>
      </c>
      <c r="BM32" s="11">
        <f t="shared" ca="1" si="57"/>
        <v>89.213556575706491</v>
      </c>
      <c r="BN32" s="28">
        <f t="shared" ca="1" si="21"/>
        <v>171.80212014134</v>
      </c>
      <c r="BO32" s="28">
        <f t="shared" ca="1" si="22"/>
        <v>0.16789579391552553</v>
      </c>
      <c r="BP32" s="28">
        <f t="shared" ca="1" si="23"/>
        <v>0.20760822358234715</v>
      </c>
    </row>
    <row r="33" spans="1:68">
      <c r="C33" s="3">
        <f t="shared" si="2"/>
        <v>3</v>
      </c>
      <c r="D33" s="3">
        <f t="shared" si="10"/>
        <v>1</v>
      </c>
      <c r="E33" s="1">
        <f t="shared" si="11"/>
        <v>2022</v>
      </c>
      <c r="F33" s="3">
        <f t="shared" si="3"/>
        <v>59</v>
      </c>
      <c r="G33" s="3">
        <f t="shared" si="12"/>
        <v>29</v>
      </c>
      <c r="H33" s="4">
        <f t="shared" si="4"/>
        <v>186793.10214892862</v>
      </c>
      <c r="L33" s="25" t="str">
        <f t="shared" ca="1" si="5"/>
        <v/>
      </c>
      <c r="M33" s="4">
        <f t="shared" si="6"/>
        <v>186793.10214892862</v>
      </c>
      <c r="N33" s="5">
        <v>0</v>
      </c>
      <c r="O33" s="6">
        <f t="shared" si="7"/>
        <v>2.87E-2</v>
      </c>
      <c r="P33" s="4">
        <f t="shared" si="0"/>
        <v>446.74683597285429</v>
      </c>
      <c r="Q33" s="7">
        <f t="shared" si="8"/>
        <v>934.95487455811508</v>
      </c>
      <c r="R33" s="4">
        <f t="shared" si="13"/>
        <v>488.20803858526079</v>
      </c>
      <c r="S33" s="4">
        <f t="shared" si="1"/>
        <v>186304.89411034336</v>
      </c>
      <c r="T33" s="4">
        <f t="shared" si="14"/>
        <v>0</v>
      </c>
      <c r="U33" s="4">
        <f t="shared" si="9"/>
        <v>186304.89411034336</v>
      </c>
      <c r="W33" s="26">
        <f t="shared" si="15"/>
        <v>0</v>
      </c>
      <c r="X33" s="27">
        <f t="shared" si="16"/>
        <v>0</v>
      </c>
      <c r="AE33" s="91" t="str">
        <f t="shared" ca="1" si="50"/>
        <v/>
      </c>
      <c r="AF33" s="70">
        <f t="shared" si="41"/>
        <v>44791</v>
      </c>
      <c r="AG33" s="10">
        <f t="shared" si="66"/>
        <v>44791</v>
      </c>
      <c r="AH33" s="29">
        <v>3.9100000000000003E-3</v>
      </c>
      <c r="AI33" s="87" t="str">
        <f t="shared" ca="1" si="24"/>
        <v/>
      </c>
      <c r="AJ33" s="76">
        <f t="shared" ca="1" si="25"/>
        <v>39.1</v>
      </c>
      <c r="AK33" s="76">
        <f t="shared" ca="1" si="42"/>
        <v>4</v>
      </c>
      <c r="AL33" s="76">
        <f t="shared" ca="1" si="52"/>
        <v>0.94285714285714306</v>
      </c>
      <c r="AM33" s="11">
        <f t="shared" si="26"/>
        <v>39.1</v>
      </c>
      <c r="AN33" s="11">
        <f t="shared" si="27"/>
        <v>530.43893942153272</v>
      </c>
      <c r="AO33" s="11">
        <f t="shared" si="28"/>
        <v>18.852851948821581</v>
      </c>
      <c r="AP33" s="12">
        <f t="shared" si="29"/>
        <v>3.6851768276101184E-2</v>
      </c>
      <c r="AQ33" s="11">
        <f t="shared" si="30"/>
        <v>449.17091128249473</v>
      </c>
      <c r="AR33" s="11">
        <f t="shared" si="31"/>
        <v>19.450185213470718</v>
      </c>
      <c r="AS33" s="12">
        <f t="shared" si="32"/>
        <v>4.5262385622858059E-2</v>
      </c>
      <c r="AT33" s="11">
        <f t="shared" si="33"/>
        <v>395.69304869448854</v>
      </c>
      <c r="AU33" s="11">
        <f t="shared" si="34"/>
        <v>20.04392498236848</v>
      </c>
      <c r="AV33" s="12">
        <f t="shared" si="35"/>
        <v>5.3358103925005312E-2</v>
      </c>
      <c r="AW33" s="10">
        <f t="shared" si="36"/>
        <v>44791</v>
      </c>
      <c r="AX33" s="76">
        <f t="shared" si="58"/>
        <v>99790.501409887787</v>
      </c>
      <c r="AY33" s="75">
        <f t="shared" si="44"/>
        <v>14.726779914787191</v>
      </c>
      <c r="AZ33" s="75">
        <f t="shared" si="37"/>
        <v>6.8650396997322796</v>
      </c>
      <c r="BA33" s="75">
        <f t="shared" si="59"/>
        <v>7.8617402150549109</v>
      </c>
      <c r="BB33" s="75">
        <f t="shared" si="60"/>
        <v>99782.639669672732</v>
      </c>
      <c r="BC33" s="12"/>
      <c r="BD33" s="82">
        <f t="shared" si="47"/>
        <v>29</v>
      </c>
      <c r="BE33" s="83">
        <f t="shared" si="48"/>
        <v>7.2500000000000023E-2</v>
      </c>
      <c r="BF33" s="10">
        <f t="shared" si="54"/>
        <v>44937</v>
      </c>
      <c r="BG33" s="11" t="s">
        <v>79</v>
      </c>
      <c r="BH33" s="11" t="str">
        <f t="shared" ca="1" si="18"/>
        <v/>
      </c>
      <c r="BI33" s="11">
        <f t="shared" ca="1" si="19"/>
        <v>599.61476914136699</v>
      </c>
      <c r="BJ33" s="11">
        <f t="shared" ca="1" si="20"/>
        <v>521.1696254054516</v>
      </c>
      <c r="BK33" s="11" t="e">
        <f t="shared" ca="1" si="55"/>
        <v>#VALUE!</v>
      </c>
      <c r="BL33" s="11">
        <f t="shared" ca="1" si="56"/>
        <v>88.02868166865585</v>
      </c>
      <c r="BM33" s="11">
        <f t="shared" ca="1" si="57"/>
        <v>91.448899336427587</v>
      </c>
      <c r="BN33" s="28">
        <f t="shared" ca="1" si="21"/>
        <v>175.8833922261438</v>
      </c>
      <c r="BO33" s="28">
        <f t="shared" ca="1" si="22"/>
        <v>0.17207012431383104</v>
      </c>
      <c r="BP33" s="28">
        <f t="shared" ca="1" si="23"/>
        <v>0.21281007358658</v>
      </c>
    </row>
    <row r="34" spans="1:68">
      <c r="C34" s="3">
        <f t="shared" si="2"/>
        <v>3</v>
      </c>
      <c r="D34" s="3">
        <f t="shared" si="10"/>
        <v>2</v>
      </c>
      <c r="E34" s="1">
        <f t="shared" si="11"/>
        <v>2022</v>
      </c>
      <c r="F34" s="3">
        <f t="shared" si="3"/>
        <v>60</v>
      </c>
      <c r="G34" s="3">
        <f t="shared" si="12"/>
        <v>30</v>
      </c>
      <c r="H34" s="4">
        <f t="shared" si="4"/>
        <v>186304.89411034336</v>
      </c>
      <c r="L34" s="25" t="str">
        <f t="shared" ca="1" si="5"/>
        <v/>
      </c>
      <c r="M34" s="4">
        <f t="shared" si="6"/>
        <v>186304.89411034336</v>
      </c>
      <c r="N34" s="5">
        <v>0</v>
      </c>
      <c r="O34" s="6">
        <f t="shared" si="7"/>
        <v>2.87E-2</v>
      </c>
      <c r="P34" s="4">
        <f t="shared" si="0"/>
        <v>445.57920508057123</v>
      </c>
      <c r="Q34" s="7">
        <f t="shared" si="8"/>
        <v>934.95487455811542</v>
      </c>
      <c r="R34" s="4">
        <f t="shared" si="13"/>
        <v>489.37566947754419</v>
      </c>
      <c r="S34" s="4">
        <f t="shared" si="1"/>
        <v>185815.51844086582</v>
      </c>
      <c r="T34" s="4">
        <f t="shared" si="14"/>
        <v>0</v>
      </c>
      <c r="U34" s="4">
        <f t="shared" si="9"/>
        <v>185815.51844086582</v>
      </c>
      <c r="W34" s="26">
        <f t="shared" si="15"/>
        <v>0</v>
      </c>
      <c r="X34" s="27">
        <f t="shared" si="16"/>
        <v>0</v>
      </c>
      <c r="Z34" s="43" t="s">
        <v>29</v>
      </c>
      <c r="AA34" s="3" t="s">
        <v>30</v>
      </c>
      <c r="AB34" s="3" t="s">
        <v>31</v>
      </c>
      <c r="AC34" s="3" t="s">
        <v>32</v>
      </c>
      <c r="AE34" s="91" t="str">
        <f t="shared" ca="1" si="50"/>
        <v/>
      </c>
      <c r="AF34" s="70">
        <f t="shared" si="41"/>
        <v>44792</v>
      </c>
      <c r="AG34" s="10">
        <f t="shared" si="66"/>
        <v>44792</v>
      </c>
      <c r="AH34" s="29">
        <v>4.3E-3</v>
      </c>
      <c r="AI34" s="87" t="str">
        <f t="shared" ca="1" si="24"/>
        <v/>
      </c>
      <c r="AJ34" s="76">
        <f t="shared" ca="1" si="25"/>
        <v>43</v>
      </c>
      <c r="AK34" s="76">
        <f t="shared" ca="1" si="42"/>
        <v>3.8999999999999986</v>
      </c>
      <c r="AL34" s="76">
        <f t="shared" ca="1" si="52"/>
        <v>1.5571428571428569</v>
      </c>
      <c r="AM34" s="11">
        <f t="shared" si="26"/>
        <v>43</v>
      </c>
      <c r="AN34" s="11">
        <f t="shared" si="27"/>
        <v>532.34209987278689</v>
      </c>
      <c r="AO34" s="11">
        <f t="shared" si="28"/>
        <v>20.756012400075747</v>
      </c>
      <c r="AP34" s="12">
        <f t="shared" si="29"/>
        <v>4.0571885960802065E-2</v>
      </c>
      <c r="AQ34" s="11">
        <f t="shared" si="30"/>
        <v>451.13896551343009</v>
      </c>
      <c r="AR34" s="11">
        <f t="shared" si="31"/>
        <v>21.418239444406083</v>
      </c>
      <c r="AS34" s="12">
        <f t="shared" si="32"/>
        <v>4.9842230418659796E-2</v>
      </c>
      <c r="AT34" s="11">
        <f t="shared" si="33"/>
        <v>397.72540638664344</v>
      </c>
      <c r="AU34" s="11">
        <f t="shared" si="34"/>
        <v>22.076282674523384</v>
      </c>
      <c r="AV34" s="12">
        <f t="shared" si="35"/>
        <v>5.8768359303938152E-2</v>
      </c>
      <c r="AW34" s="10">
        <f t="shared" si="36"/>
        <v>44792</v>
      </c>
      <c r="AX34" s="76">
        <f t="shared" si="58"/>
        <v>99782.639669672732</v>
      </c>
      <c r="AY34" s="75">
        <f t="shared" si="44"/>
        <v>14.790025907529216</v>
      </c>
      <c r="AZ34" s="75">
        <f t="shared" si="37"/>
        <v>6.9711159221278214</v>
      </c>
      <c r="BA34" s="75">
        <f t="shared" si="59"/>
        <v>7.8189099854013948</v>
      </c>
      <c r="BB34" s="75">
        <f t="shared" si="60"/>
        <v>99774.820759687325</v>
      </c>
      <c r="BC34" s="12"/>
      <c r="BD34" s="82">
        <f t="shared" si="47"/>
        <v>30</v>
      </c>
      <c r="BE34" s="83">
        <f t="shared" si="48"/>
        <v>7.5000000000000025E-2</v>
      </c>
      <c r="BF34" s="10">
        <f t="shared" si="54"/>
        <v>44944</v>
      </c>
      <c r="BG34" s="11" t="s">
        <v>80</v>
      </c>
      <c r="BH34" s="11" t="str">
        <f t="shared" ca="1" si="18"/>
        <v/>
      </c>
      <c r="BI34" s="11">
        <f t="shared" ca="1" si="19"/>
        <v>601.75463633852269</v>
      </c>
      <c r="BJ34" s="11">
        <f t="shared" ca="1" si="20"/>
        <v>523.41021312684825</v>
      </c>
      <c r="BK34" s="11" t="e">
        <f t="shared" ca="1" si="55"/>
        <v>#VALUE!</v>
      </c>
      <c r="BL34" s="11">
        <f t="shared" ca="1" si="56"/>
        <v>90.168548865811545</v>
      </c>
      <c r="BM34" s="11">
        <f t="shared" ca="1" si="57"/>
        <v>93.689487057824238</v>
      </c>
      <c r="BN34" s="28">
        <f t="shared" ca="1" si="21"/>
        <v>179.9646643109476</v>
      </c>
      <c r="BO34" s="28">
        <f t="shared" ca="1" si="22"/>
        <v>0.17625293391236188</v>
      </c>
      <c r="BP34" s="28">
        <f t="shared" ca="1" si="23"/>
        <v>0.2180241291009439</v>
      </c>
    </row>
    <row r="35" spans="1:68">
      <c r="C35" s="3">
        <f t="shared" si="2"/>
        <v>3</v>
      </c>
      <c r="D35" s="3">
        <f t="shared" si="10"/>
        <v>3</v>
      </c>
      <c r="E35" s="1">
        <f t="shared" si="11"/>
        <v>2022</v>
      </c>
      <c r="F35" s="3">
        <f t="shared" si="3"/>
        <v>60</v>
      </c>
      <c r="G35" s="3">
        <f t="shared" si="12"/>
        <v>31</v>
      </c>
      <c r="H35" s="4">
        <f t="shared" si="4"/>
        <v>185815.51844086582</v>
      </c>
      <c r="L35" s="25" t="str">
        <f t="shared" ca="1" si="5"/>
        <v/>
      </c>
      <c r="M35" s="4">
        <f t="shared" si="6"/>
        <v>185815.51844086582</v>
      </c>
      <c r="N35" s="5">
        <v>0</v>
      </c>
      <c r="O35" s="6">
        <f t="shared" si="7"/>
        <v>2.87E-2</v>
      </c>
      <c r="P35" s="4">
        <f t="shared" si="0"/>
        <v>444.40878160440411</v>
      </c>
      <c r="Q35" s="7">
        <f t="shared" si="8"/>
        <v>934.95487455811508</v>
      </c>
      <c r="R35" s="4">
        <f t="shared" si="13"/>
        <v>490.54609295371097</v>
      </c>
      <c r="S35" s="4">
        <f t="shared" si="1"/>
        <v>185324.97234791212</v>
      </c>
      <c r="T35" s="4">
        <f t="shared" si="14"/>
        <v>0</v>
      </c>
      <c r="U35" s="4">
        <f t="shared" si="9"/>
        <v>185324.97234791212</v>
      </c>
      <c r="W35" s="26">
        <f t="shared" si="15"/>
        <v>0</v>
      </c>
      <c r="X35" s="27">
        <f t="shared" si="16"/>
        <v>0</v>
      </c>
      <c r="Z35" s="43">
        <v>36495</v>
      </c>
      <c r="AA35" s="15">
        <v>3.3099999999999997E-2</v>
      </c>
      <c r="AB35" s="15">
        <v>0.03</v>
      </c>
      <c r="AC35" s="44">
        <f>IF(AA35&gt;0,MAX(AA35:AB35)+$B$22+$B$23,MAX(0,AB35)+$B$22+$B$23)</f>
        <v>6.1800000000000001E-2</v>
      </c>
      <c r="AE35" s="91" t="str">
        <f t="shared" ca="1" si="50"/>
        <v/>
      </c>
      <c r="AF35" s="70">
        <f t="shared" si="41"/>
        <v>44795</v>
      </c>
      <c r="AG35" s="10">
        <f>AG34+3</f>
        <v>44795</v>
      </c>
      <c r="AH35" s="29">
        <v>4.5300000000000002E-3</v>
      </c>
      <c r="AI35" s="87" t="str">
        <f t="shared" ca="1" si="24"/>
        <v/>
      </c>
      <c r="AJ35" s="76">
        <f t="shared" ca="1" si="25"/>
        <v>45.300000000000004</v>
      </c>
      <c r="AK35" s="76">
        <f t="shared" ca="1" si="42"/>
        <v>2.3000000000000043</v>
      </c>
      <c r="AL35" s="76">
        <f t="shared" ca="1" si="52"/>
        <v>1.7142857142857153</v>
      </c>
      <c r="AM35" s="11">
        <f t="shared" si="26"/>
        <v>45.300000000000004</v>
      </c>
      <c r="AN35" s="11">
        <f t="shared" si="27"/>
        <v>533.46640053485248</v>
      </c>
      <c r="AO35" s="11">
        <f t="shared" si="28"/>
        <v>21.88031306214134</v>
      </c>
      <c r="AP35" s="12">
        <f t="shared" si="29"/>
        <v>4.2769562343324033E-2</v>
      </c>
      <c r="AQ35" s="11">
        <f t="shared" si="30"/>
        <v>452.30198337991993</v>
      </c>
      <c r="AR35" s="11">
        <f t="shared" si="31"/>
        <v>22.581257310895921</v>
      </c>
      <c r="AS35" s="12">
        <f t="shared" si="32"/>
        <v>5.2548680901346144E-2</v>
      </c>
      <c r="AT35" s="11">
        <f t="shared" si="33"/>
        <v>398.92677127541594</v>
      </c>
      <c r="AU35" s="11">
        <f t="shared" si="34"/>
        <v>23.277647563295886</v>
      </c>
      <c r="AV35" s="12">
        <f t="shared" si="35"/>
        <v>6.1966463100642792E-2</v>
      </c>
      <c r="AW35" s="10">
        <f t="shared" si="36"/>
        <v>44795</v>
      </c>
      <c r="AX35" s="76">
        <f t="shared" si="58"/>
        <v>99774.820759687325</v>
      </c>
      <c r="AY35" s="75">
        <f t="shared" si="44"/>
        <v>14.82924185153631</v>
      </c>
      <c r="AZ35" s="75">
        <f t="shared" si="37"/>
        <v>7.03344147437467</v>
      </c>
      <c r="BA35" s="75">
        <f t="shared" si="59"/>
        <v>7.7958003771616395</v>
      </c>
      <c r="BB35" s="75">
        <f t="shared" si="60"/>
        <v>99767.024959310162</v>
      </c>
      <c r="BC35" s="12"/>
      <c r="BD35" s="82">
        <f t="shared" si="47"/>
        <v>31</v>
      </c>
      <c r="BE35" s="83">
        <f t="shared" si="48"/>
        <v>7.7500000000000027E-2</v>
      </c>
      <c r="BF35" s="10">
        <f t="shared" si="54"/>
        <v>44951</v>
      </c>
      <c r="BG35" s="11" t="s">
        <v>81</v>
      </c>
      <c r="BH35" s="11" t="str">
        <f t="shared" ca="1" si="18"/>
        <v/>
      </c>
      <c r="BI35" s="11">
        <f t="shared" ca="1" si="19"/>
        <v>603.89883572645635</v>
      </c>
      <c r="BJ35" s="11">
        <f t="shared" ca="1" si="20"/>
        <v>525.65603535291234</v>
      </c>
      <c r="BK35" s="11" t="e">
        <f t="shared" ca="1" si="55"/>
        <v>#VALUE!</v>
      </c>
      <c r="BL35" s="11">
        <f t="shared" ca="1" si="56"/>
        <v>92.312748253745212</v>
      </c>
      <c r="BM35" s="11">
        <f t="shared" ca="1" si="57"/>
        <v>95.93530928388833</v>
      </c>
      <c r="BN35" s="28">
        <f t="shared" ca="1" si="21"/>
        <v>184.0459363957425</v>
      </c>
      <c r="BO35" s="28">
        <f t="shared" ca="1" si="22"/>
        <v>0.1804442116668572</v>
      </c>
      <c r="BP35" s="28">
        <f t="shared" ca="1" si="23"/>
        <v>0.22325036579333782</v>
      </c>
    </row>
    <row r="36" spans="1:68">
      <c r="C36" s="3">
        <f t="shared" si="2"/>
        <v>3</v>
      </c>
      <c r="D36" s="3">
        <f t="shared" si="10"/>
        <v>4</v>
      </c>
      <c r="E36" s="1">
        <f t="shared" si="11"/>
        <v>2022</v>
      </c>
      <c r="F36" s="3">
        <f t="shared" si="3"/>
        <v>60</v>
      </c>
      <c r="G36" s="3">
        <f t="shared" si="12"/>
        <v>32</v>
      </c>
      <c r="H36" s="4">
        <f t="shared" si="4"/>
        <v>185324.97234791212</v>
      </c>
      <c r="L36" s="25" t="str">
        <f t="shared" ca="1" si="5"/>
        <v/>
      </c>
      <c r="M36" s="4">
        <f t="shared" si="6"/>
        <v>185324.97234791212</v>
      </c>
      <c r="N36" s="5">
        <v>0</v>
      </c>
      <c r="O36" s="6">
        <f t="shared" si="7"/>
        <v>2.87E-2</v>
      </c>
      <c r="P36" s="4">
        <f t="shared" si="0"/>
        <v>443.23555886542317</v>
      </c>
      <c r="Q36" s="7">
        <f t="shared" si="8"/>
        <v>934.95487455811519</v>
      </c>
      <c r="R36" s="4">
        <f t="shared" si="13"/>
        <v>491.71931569269202</v>
      </c>
      <c r="S36" s="4">
        <f t="shared" si="1"/>
        <v>184833.25303221942</v>
      </c>
      <c r="T36" s="4">
        <f t="shared" si="14"/>
        <v>0</v>
      </c>
      <c r="U36" s="4">
        <f t="shared" si="9"/>
        <v>184833.25303221942</v>
      </c>
      <c r="W36" s="26">
        <f t="shared" si="15"/>
        <v>0</v>
      </c>
      <c r="X36" s="27">
        <f t="shared" si="16"/>
        <v>0</v>
      </c>
      <c r="Z36" s="43">
        <v>37226</v>
      </c>
      <c r="AA36" s="15">
        <v>3.2899999999999999E-2</v>
      </c>
      <c r="AB36" s="15">
        <v>4.2500000000000003E-2</v>
      </c>
      <c r="AC36" s="44">
        <f t="shared" ref="AC36:AC44" si="67">IF(AA36&gt;0,MAX(AA36:AB36)+$B$22+$B$23,MAX(0,AB36)+$B$22+$B$23)</f>
        <v>7.1200000000000013E-2</v>
      </c>
      <c r="AE36" s="91" t="str">
        <f t="shared" ca="1" si="50"/>
        <v/>
      </c>
      <c r="AF36" s="70">
        <f t="shared" si="41"/>
        <v>44796</v>
      </c>
      <c r="AG36" s="10">
        <f>AG35+1</f>
        <v>44796</v>
      </c>
      <c r="AH36" s="29">
        <v>4.6800000000000001E-3</v>
      </c>
      <c r="AI36" s="87" t="str">
        <f t="shared" ca="1" si="24"/>
        <v/>
      </c>
      <c r="AJ36" s="76">
        <f t="shared" ca="1" si="25"/>
        <v>46.800000000000004</v>
      </c>
      <c r="AK36" s="76">
        <f t="shared" ca="1" si="42"/>
        <v>1.5</v>
      </c>
      <c r="AL36" s="76">
        <f t="shared" ca="1" si="52"/>
        <v>1.8428571428571436</v>
      </c>
      <c r="AM36" s="11">
        <f t="shared" si="26"/>
        <v>46.800000000000004</v>
      </c>
      <c r="AN36" s="11">
        <f t="shared" si="27"/>
        <v>534.20040872687855</v>
      </c>
      <c r="AO36" s="11">
        <f t="shared" si="28"/>
        <v>22.614321254167407</v>
      </c>
      <c r="AP36" s="12">
        <f t="shared" si="29"/>
        <v>4.4204331994023766E-2</v>
      </c>
      <c r="AQ36" s="11">
        <f t="shared" si="30"/>
        <v>453.06142002923815</v>
      </c>
      <c r="AR36" s="11">
        <f t="shared" si="31"/>
        <v>23.340693960214139</v>
      </c>
      <c r="AS36" s="12">
        <f t="shared" si="32"/>
        <v>5.4315960446518083E-2</v>
      </c>
      <c r="AT36" s="11">
        <f t="shared" si="33"/>
        <v>399.71138598360892</v>
      </c>
      <c r="AU36" s="11">
        <f t="shared" si="34"/>
        <v>24.062262271488862</v>
      </c>
      <c r="AV36" s="12">
        <f t="shared" si="35"/>
        <v>6.4055153473295615E-2</v>
      </c>
      <c r="AW36" s="10">
        <f t="shared" si="36"/>
        <v>44796</v>
      </c>
      <c r="AX36" s="76">
        <f t="shared" si="58"/>
        <v>99767.024959310162</v>
      </c>
      <c r="AY36" s="75">
        <f t="shared" si="44"/>
        <v>14.85061637848932</v>
      </c>
      <c r="AZ36" s="75">
        <f t="shared" si="37"/>
        <v>7.0738920710875268</v>
      </c>
      <c r="BA36" s="75">
        <f t="shared" si="59"/>
        <v>7.7767243074017935</v>
      </c>
      <c r="BB36" s="75">
        <f t="shared" si="60"/>
        <v>99759.248235002757</v>
      </c>
      <c r="BC36" s="12"/>
      <c r="BD36" s="82">
        <f t="shared" si="47"/>
        <v>32</v>
      </c>
      <c r="BE36" s="83">
        <f t="shared" si="48"/>
        <v>8.0000000000000029E-2</v>
      </c>
      <c r="BF36" s="10">
        <f t="shared" si="54"/>
        <v>44958</v>
      </c>
      <c r="BG36" s="11" t="s">
        <v>82</v>
      </c>
      <c r="BH36" s="11" t="str">
        <f t="shared" ca="1" si="18"/>
        <v/>
      </c>
      <c r="BI36" s="11">
        <f t="shared" ca="1" si="19"/>
        <v>606.04736160730681</v>
      </c>
      <c r="BJ36" s="11">
        <f t="shared" ca="1" si="20"/>
        <v>527.90708154646029</v>
      </c>
      <c r="BK36" s="11" t="e">
        <f t="shared" ca="1" si="55"/>
        <v>#VALUE!</v>
      </c>
      <c r="BL36" s="11">
        <f t="shared" ca="1" si="56"/>
        <v>94.461274134595669</v>
      </c>
      <c r="BM36" s="11">
        <f t="shared" ca="1" si="57"/>
        <v>98.18635547743628</v>
      </c>
      <c r="BN36" s="28">
        <f t="shared" ca="1" si="21"/>
        <v>188.1272084805463</v>
      </c>
      <c r="BO36" s="28">
        <f t="shared" ca="1" si="22"/>
        <v>0.18464394643967794</v>
      </c>
      <c r="BP36" s="28">
        <f t="shared" ca="1" si="23"/>
        <v>0.2284887591427579</v>
      </c>
    </row>
    <row r="37" spans="1:68">
      <c r="C37" s="3">
        <f t="shared" si="2"/>
        <v>3</v>
      </c>
      <c r="D37" s="3">
        <f t="shared" si="10"/>
        <v>5</v>
      </c>
      <c r="E37" s="1">
        <f t="shared" si="11"/>
        <v>2022</v>
      </c>
      <c r="F37" s="3">
        <f t="shared" si="3"/>
        <v>60</v>
      </c>
      <c r="G37" s="3">
        <f t="shared" si="12"/>
        <v>33</v>
      </c>
      <c r="H37" s="4">
        <f t="shared" si="4"/>
        <v>184833.25303221942</v>
      </c>
      <c r="L37" s="25" t="str">
        <f t="shared" ca="1" si="5"/>
        <v/>
      </c>
      <c r="M37" s="4">
        <f t="shared" si="6"/>
        <v>184833.25303221942</v>
      </c>
      <c r="N37" s="5">
        <v>0</v>
      </c>
      <c r="O37" s="6">
        <f t="shared" si="7"/>
        <v>2.87E-2</v>
      </c>
      <c r="P37" s="4">
        <f t="shared" si="0"/>
        <v>442.05953016872473</v>
      </c>
      <c r="Q37" s="7">
        <f t="shared" si="8"/>
        <v>934.95487455811519</v>
      </c>
      <c r="R37" s="4">
        <f t="shared" si="13"/>
        <v>492.89534438939046</v>
      </c>
      <c r="S37" s="4">
        <f t="shared" si="1"/>
        <v>184340.35768783002</v>
      </c>
      <c r="T37" s="4">
        <f t="shared" si="14"/>
        <v>0</v>
      </c>
      <c r="U37" s="4">
        <f t="shared" si="9"/>
        <v>184340.35768783002</v>
      </c>
      <c r="W37" s="26">
        <f t="shared" si="15"/>
        <v>0</v>
      </c>
      <c r="X37" s="27">
        <f t="shared" si="16"/>
        <v>0</v>
      </c>
      <c r="Z37" s="43">
        <v>38322</v>
      </c>
      <c r="AA37" s="15">
        <v>2.18E-2</v>
      </c>
      <c r="AB37" s="15">
        <v>4.2500000000000003E-2</v>
      </c>
      <c r="AC37" s="44">
        <f t="shared" si="67"/>
        <v>7.1200000000000013E-2</v>
      </c>
      <c r="AE37" s="91" t="str">
        <f t="shared" ca="1" si="50"/>
        <v/>
      </c>
      <c r="AF37" s="70">
        <f t="shared" si="41"/>
        <v>44797</v>
      </c>
      <c r="AG37" s="10">
        <f t="shared" ref="AG37:AG39" si="68">AG36+1</f>
        <v>44797</v>
      </c>
      <c r="AH37" s="29">
        <v>4.9300000000000004E-3</v>
      </c>
      <c r="AI37" s="87" t="str">
        <f t="shared" ca="1" si="24"/>
        <v/>
      </c>
      <c r="AJ37" s="76">
        <f t="shared" ca="1" si="25"/>
        <v>49.300000000000004</v>
      </c>
      <c r="AK37" s="76">
        <f t="shared" ca="1" si="42"/>
        <v>2.5</v>
      </c>
      <c r="AL37" s="76">
        <f t="shared" ca="1" si="52"/>
        <v>2.2857142857142869</v>
      </c>
      <c r="AM37" s="11">
        <f t="shared" si="26"/>
        <v>49.300000000000004</v>
      </c>
      <c r="AN37" s="11">
        <f t="shared" si="27"/>
        <v>535.42510357183505</v>
      </c>
      <c r="AO37" s="11">
        <f t="shared" si="28"/>
        <v>23.83901609912391</v>
      </c>
      <c r="AP37" s="12">
        <f t="shared" si="29"/>
        <v>4.6598249410751469E-2</v>
      </c>
      <c r="AQ37" s="11">
        <f t="shared" si="30"/>
        <v>454.32880756311528</v>
      </c>
      <c r="AR37" s="11">
        <f t="shared" si="31"/>
        <v>24.608081494091266</v>
      </c>
      <c r="AS37" s="12">
        <f t="shared" si="32"/>
        <v>5.726528882886274E-2</v>
      </c>
      <c r="AT37" s="11">
        <f t="shared" si="33"/>
        <v>401.0210328938096</v>
      </c>
      <c r="AU37" s="11">
        <f t="shared" si="34"/>
        <v>25.371909181689546</v>
      </c>
      <c r="AV37" s="12">
        <f t="shared" si="35"/>
        <v>6.7541510362029739E-2</v>
      </c>
      <c r="AW37" s="10">
        <f t="shared" si="36"/>
        <v>44797</v>
      </c>
      <c r="AX37" s="76">
        <f t="shared" si="58"/>
        <v>99759.248235002757</v>
      </c>
      <c r="AY37" s="75">
        <f t="shared" si="44"/>
        <v>14.890926393683353</v>
      </c>
      <c r="AZ37" s="75">
        <f t="shared" si="37"/>
        <v>7.1416689215907452</v>
      </c>
      <c r="BA37" s="75">
        <f t="shared" si="59"/>
        <v>7.7492574720926077</v>
      </c>
      <c r="BB37" s="75">
        <f t="shared" si="60"/>
        <v>99751.49897753066</v>
      </c>
      <c r="BC37" s="12"/>
      <c r="BD37" s="82">
        <f t="shared" si="47"/>
        <v>33</v>
      </c>
      <c r="BE37" s="83">
        <f t="shared" si="48"/>
        <v>8.2500000000000032E-2</v>
      </c>
      <c r="BF37" s="10">
        <f t="shared" si="54"/>
        <v>44965</v>
      </c>
      <c r="BG37" s="11" t="s">
        <v>83</v>
      </c>
      <c r="BH37" s="11" t="str">
        <f t="shared" ca="1" si="18"/>
        <v/>
      </c>
      <c r="BI37" s="11">
        <f t="shared" ca="1" si="19"/>
        <v>608.20020823576215</v>
      </c>
      <c r="BJ37" s="11">
        <f t="shared" ca="1" si="20"/>
        <v>530.16334108987587</v>
      </c>
      <c r="BK37" s="11" t="e">
        <f t="shared" ca="1" si="55"/>
        <v>#VALUE!</v>
      </c>
      <c r="BL37" s="11">
        <f t="shared" ca="1" si="56"/>
        <v>96.614120763051005</v>
      </c>
      <c r="BM37" s="11">
        <f t="shared" ca="1" si="57"/>
        <v>100.44261502085186</v>
      </c>
      <c r="BN37" s="28">
        <f t="shared" ca="1" si="21"/>
        <v>192.20848056535456</v>
      </c>
      <c r="BO37" s="28">
        <f t="shared" ca="1" si="22"/>
        <v>0.18885212700043288</v>
      </c>
      <c r="BP37" s="28">
        <f t="shared" ca="1" si="23"/>
        <v>0.2337392844410261</v>
      </c>
    </row>
    <row r="38" spans="1:68">
      <c r="C38" s="3">
        <f t="shared" si="2"/>
        <v>3</v>
      </c>
      <c r="D38" s="3">
        <f t="shared" si="10"/>
        <v>6</v>
      </c>
      <c r="E38" s="1">
        <f t="shared" si="11"/>
        <v>2022</v>
      </c>
      <c r="F38" s="3">
        <f t="shared" si="3"/>
        <v>60</v>
      </c>
      <c r="G38" s="3">
        <f t="shared" si="12"/>
        <v>34</v>
      </c>
      <c r="H38" s="4">
        <f t="shared" ref="H38:H69" si="69">IF(C38&gt;$B$6,0,S37)</f>
        <v>184340.35768783002</v>
      </c>
      <c r="L38" s="25" t="str">
        <f t="shared" ca="1" si="5"/>
        <v/>
      </c>
      <c r="M38" s="4">
        <f t="shared" si="6"/>
        <v>184340.35768783002</v>
      </c>
      <c r="N38" s="5">
        <v>0</v>
      </c>
      <c r="O38" s="6">
        <f t="shared" si="7"/>
        <v>2.87E-2</v>
      </c>
      <c r="P38" s="4">
        <f t="shared" si="0"/>
        <v>440.88068880339347</v>
      </c>
      <c r="Q38" s="7">
        <f t="shared" si="8"/>
        <v>934.95487455811542</v>
      </c>
      <c r="R38" s="4">
        <f t="shared" si="13"/>
        <v>494.07418575472195</v>
      </c>
      <c r="S38" s="4">
        <f t="shared" si="1"/>
        <v>183846.2835020753</v>
      </c>
      <c r="T38" s="4">
        <f t="shared" si="14"/>
        <v>0</v>
      </c>
      <c r="U38" s="4">
        <f t="shared" si="9"/>
        <v>183846.2835020753</v>
      </c>
      <c r="W38" s="26">
        <f t="shared" si="15"/>
        <v>0</v>
      </c>
      <c r="X38" s="27">
        <f t="shared" si="16"/>
        <v>0</v>
      </c>
      <c r="Z38" s="43">
        <v>39417</v>
      </c>
      <c r="AA38" s="15">
        <v>4.9500000000000002E-2</v>
      </c>
      <c r="AB38" s="15">
        <v>4.2500000000000003E-2</v>
      </c>
      <c r="AC38" s="44">
        <f t="shared" si="67"/>
        <v>7.8200000000000006E-2</v>
      </c>
      <c r="AE38" s="91" t="str">
        <f t="shared" ca="1" si="50"/>
        <v/>
      </c>
      <c r="AF38" s="70">
        <f t="shared" si="41"/>
        <v>44798</v>
      </c>
      <c r="AG38" s="10">
        <f t="shared" si="68"/>
        <v>44798</v>
      </c>
      <c r="AH38" s="29">
        <v>5.1799999999999997E-3</v>
      </c>
      <c r="AI38" s="87" t="str">
        <f t="shared" ca="1" si="24"/>
        <v/>
      </c>
      <c r="AJ38" s="76">
        <f t="shared" ca="1" si="25"/>
        <v>51.8</v>
      </c>
      <c r="AK38" s="76">
        <f t="shared" ca="1" si="42"/>
        <v>2.4999999999999929</v>
      </c>
      <c r="AL38" s="76">
        <f t="shared" ca="1" si="52"/>
        <v>2.3857142857142852</v>
      </c>
      <c r="AM38" s="11">
        <f t="shared" si="26"/>
        <v>51.8</v>
      </c>
      <c r="AN38" s="11">
        <f t="shared" si="27"/>
        <v>536.65148244049351</v>
      </c>
      <c r="AO38" s="11">
        <f t="shared" si="28"/>
        <v>25.065394967782368</v>
      </c>
      <c r="AP38" s="12">
        <f t="shared" si="29"/>
        <v>4.8995458597414256E-2</v>
      </c>
      <c r="AQ38" s="11">
        <f t="shared" si="30"/>
        <v>455.59826832653334</v>
      </c>
      <c r="AR38" s="11">
        <f t="shared" si="31"/>
        <v>25.877542257509333</v>
      </c>
      <c r="AS38" s="12">
        <f t="shared" si="32"/>
        <v>6.0219441808707981E-2</v>
      </c>
      <c r="AT38" s="11">
        <f t="shared" si="33"/>
        <v>402.33312195626689</v>
      </c>
      <c r="AU38" s="11">
        <f t="shared" si="34"/>
        <v>26.683998244146835</v>
      </c>
      <c r="AV38" s="12">
        <f t="shared" si="35"/>
        <v>7.1034368403308734E-2</v>
      </c>
      <c r="AW38" s="10">
        <f t="shared" si="36"/>
        <v>44798</v>
      </c>
      <c r="AX38" s="76">
        <f t="shared" si="58"/>
        <v>99751.49897753066</v>
      </c>
      <c r="AY38" s="75">
        <f t="shared" si="44"/>
        <v>14.93130224933582</v>
      </c>
      <c r="AZ38" s="75">
        <f t="shared" si="37"/>
        <v>7.2094371041842713</v>
      </c>
      <c r="BA38" s="75">
        <f t="shared" si="59"/>
        <v>7.7218651451515488</v>
      </c>
      <c r="BB38" s="75">
        <f t="shared" si="60"/>
        <v>99743.777112385505</v>
      </c>
      <c r="BC38" s="12"/>
      <c r="BD38" s="82">
        <f t="shared" si="47"/>
        <v>34</v>
      </c>
      <c r="BE38" s="83">
        <f t="shared" si="48"/>
        <v>8.5000000000000034E-2</v>
      </c>
      <c r="BF38" s="10">
        <f t="shared" si="54"/>
        <v>44972</v>
      </c>
      <c r="BG38" s="11" t="s">
        <v>84</v>
      </c>
      <c r="BH38" s="11" t="str">
        <f t="shared" ca="1" si="18"/>
        <v/>
      </c>
      <c r="BI38" s="11">
        <f t="shared" ca="1" si="19"/>
        <v>610.35736981914306</v>
      </c>
      <c r="BJ38" s="11">
        <f t="shared" ca="1" si="20"/>
        <v>532.42480328568388</v>
      </c>
      <c r="BK38" s="11" t="e">
        <f t="shared" ca="1" si="55"/>
        <v>#VALUE!</v>
      </c>
      <c r="BL38" s="11">
        <f t="shared" ca="1" si="56"/>
        <v>98.771282346431917</v>
      </c>
      <c r="BM38" s="11">
        <f t="shared" ca="1" si="57"/>
        <v>102.70407721665987</v>
      </c>
      <c r="BN38" s="28">
        <f t="shared" ca="1" si="21"/>
        <v>196.28975265015836</v>
      </c>
      <c r="BO38" s="28">
        <f t="shared" ca="1" si="22"/>
        <v>0.19306874202614149</v>
      </c>
      <c r="BP38" s="28">
        <f t="shared" ca="1" si="23"/>
        <v>0.23900191679412502</v>
      </c>
    </row>
    <row r="39" spans="1:68">
      <c r="C39" s="3">
        <f t="shared" si="2"/>
        <v>3</v>
      </c>
      <c r="D39" s="3">
        <f t="shared" si="10"/>
        <v>7</v>
      </c>
      <c r="E39" s="1">
        <f t="shared" si="11"/>
        <v>2022</v>
      </c>
      <c r="F39" s="3">
        <f t="shared" si="3"/>
        <v>60</v>
      </c>
      <c r="G39" s="3">
        <f t="shared" si="12"/>
        <v>35</v>
      </c>
      <c r="H39" s="4">
        <f t="shared" si="69"/>
        <v>183846.2835020753</v>
      </c>
      <c r="L39" s="25" t="str">
        <f t="shared" ca="1" si="5"/>
        <v/>
      </c>
      <c r="M39" s="4">
        <f t="shared" si="6"/>
        <v>183846.2835020753</v>
      </c>
      <c r="N39" s="5">
        <v>0</v>
      </c>
      <c r="O39" s="6">
        <f t="shared" si="7"/>
        <v>2.87E-2</v>
      </c>
      <c r="P39" s="4">
        <f t="shared" si="0"/>
        <v>439.6990280424634</v>
      </c>
      <c r="Q39" s="7">
        <f t="shared" si="8"/>
        <v>934.95487455811485</v>
      </c>
      <c r="R39" s="4">
        <f t="shared" si="13"/>
        <v>495.25584651565146</v>
      </c>
      <c r="S39" s="4">
        <f t="shared" si="1"/>
        <v>183351.02765555965</v>
      </c>
      <c r="T39" s="4">
        <f t="shared" si="14"/>
        <v>0</v>
      </c>
      <c r="U39" s="4">
        <f t="shared" si="9"/>
        <v>183351.02765555965</v>
      </c>
      <c r="W39" s="26">
        <f t="shared" si="15"/>
        <v>0</v>
      </c>
      <c r="X39" s="27">
        <f t="shared" si="16"/>
        <v>0</v>
      </c>
      <c r="Z39" s="43">
        <v>40513</v>
      </c>
      <c r="AA39" s="15">
        <v>0.01</v>
      </c>
      <c r="AB39" s="15">
        <v>0.01</v>
      </c>
      <c r="AC39" s="44">
        <f t="shared" si="67"/>
        <v>3.8699999999999998E-2</v>
      </c>
      <c r="AE39" s="91" t="str">
        <f t="shared" ca="1" si="50"/>
        <v/>
      </c>
      <c r="AF39" s="70">
        <f t="shared" si="41"/>
        <v>44799</v>
      </c>
      <c r="AG39" s="10">
        <f t="shared" si="68"/>
        <v>44799</v>
      </c>
      <c r="AH39" s="29">
        <v>5.4200000000000003E-3</v>
      </c>
      <c r="AI39" s="87" t="str">
        <f t="shared" ca="1" si="24"/>
        <v/>
      </c>
      <c r="AJ39" s="76">
        <f t="shared" ca="1" si="25"/>
        <v>54.2</v>
      </c>
      <c r="AK39" s="76">
        <f t="shared" ca="1" si="42"/>
        <v>2.4000000000000057</v>
      </c>
      <c r="AL39" s="76">
        <f t="shared" ca="1" si="52"/>
        <v>2.1571428571428575</v>
      </c>
      <c r="AM39" s="11">
        <f t="shared" si="26"/>
        <v>54.2</v>
      </c>
      <c r="AN39" s="11">
        <f t="shared" si="27"/>
        <v>537.83038962153364</v>
      </c>
      <c r="AO39" s="11">
        <f t="shared" si="28"/>
        <v>26.244302148822499</v>
      </c>
      <c r="AP39" s="12">
        <f t="shared" si="29"/>
        <v>5.1299874628084788E-2</v>
      </c>
      <c r="AQ39" s="11">
        <f t="shared" si="30"/>
        <v>456.81889953347769</v>
      </c>
      <c r="AR39" s="11">
        <f t="shared" si="31"/>
        <v>27.09817346445368</v>
      </c>
      <c r="AS39" s="12">
        <f t="shared" si="32"/>
        <v>6.3059963880124859E-2</v>
      </c>
      <c r="AT39" s="11">
        <f t="shared" si="33"/>
        <v>403.5950223256217</v>
      </c>
      <c r="AU39" s="11">
        <f t="shared" si="34"/>
        <v>27.94589861350164</v>
      </c>
      <c r="AV39" s="12">
        <f t="shared" si="35"/>
        <v>7.4393621199867546E-2</v>
      </c>
      <c r="AW39" s="10">
        <f t="shared" si="36"/>
        <v>44799</v>
      </c>
      <c r="AX39" s="76">
        <f t="shared" si="58"/>
        <v>99743.777112385505</v>
      </c>
      <c r="AY39" s="75">
        <f t="shared" si="44"/>
        <v>14.970078689862095</v>
      </c>
      <c r="AZ39" s="75">
        <f t="shared" si="37"/>
        <v>7.2744639636484996</v>
      </c>
      <c r="BA39" s="75">
        <f t="shared" si="59"/>
        <v>7.6956147262135959</v>
      </c>
      <c r="BB39" s="75">
        <f t="shared" si="60"/>
        <v>99736.081497659296</v>
      </c>
      <c r="BC39" s="12"/>
      <c r="BD39" s="82">
        <f>BD38+1</f>
        <v>35</v>
      </c>
      <c r="BE39" s="83">
        <f t="shared" si="48"/>
        <v>8.7500000000000036E-2</v>
      </c>
      <c r="BF39" s="10">
        <f t="shared" si="54"/>
        <v>44979</v>
      </c>
      <c r="BG39" s="11" t="s">
        <v>85</v>
      </c>
      <c r="BH39" s="11" t="str">
        <f t="shared" ref="BH39:BH57" ca="1" si="70">VLOOKUP($BF39,Eur3M,5)</f>
        <v/>
      </c>
      <c r="BI39" s="11">
        <f t="shared" ref="BI39:BI57" ca="1" si="71">VLOOKUP($BF39,Eur3M,8)</f>
        <v>612.51884051779086</v>
      </c>
      <c r="BJ39" s="11">
        <f t="shared" ref="BJ39:BJ57" ca="1" si="72">VLOOKUP($BF39,Eur3M,11)</f>
        <v>534.69145735735833</v>
      </c>
      <c r="BK39" s="11" t="e">
        <f t="shared" ca="1" si="55"/>
        <v>#VALUE!</v>
      </c>
      <c r="BL39" s="11">
        <f t="shared" ca="1" si="56"/>
        <v>100.93275304507972</v>
      </c>
      <c r="BM39" s="11">
        <f t="shared" ca="1" si="57"/>
        <v>104.97073128833432</v>
      </c>
      <c r="BN39" s="28">
        <f t="shared" ref="BN39:BN57" ca="1" si="73">VLOOKUP($BF39,Eur3M,7)</f>
        <v>200.3710247349666</v>
      </c>
      <c r="BO39" s="28">
        <f t="shared" ref="BO39:BO57" ca="1" si="74">VLOOKUP($BF39,Eur3M,10)</f>
        <v>0.19729378010199239</v>
      </c>
      <c r="BP39" s="28">
        <f t="shared" ref="BP39:BP57" ca="1" si="75">VLOOKUP($BF39,Eur3M,13)</f>
        <v>0.24427663112407888</v>
      </c>
    </row>
    <row r="40" spans="1:68">
      <c r="A40" s="45" t="s">
        <v>22</v>
      </c>
      <c r="B40" s="45"/>
      <c r="C40" s="46">
        <f t="shared" si="2"/>
        <v>3</v>
      </c>
      <c r="D40" s="46">
        <f t="shared" si="10"/>
        <v>8</v>
      </c>
      <c r="E40" s="45">
        <f t="shared" si="11"/>
        <v>2022</v>
      </c>
      <c r="F40" s="46">
        <f t="shared" si="3"/>
        <v>60</v>
      </c>
      <c r="G40" s="46">
        <f t="shared" si="12"/>
        <v>36</v>
      </c>
      <c r="H40" s="47">
        <f t="shared" si="69"/>
        <v>183351.02765555965</v>
      </c>
      <c r="I40" s="48"/>
      <c r="J40" s="48"/>
      <c r="K40" s="48"/>
      <c r="L40" s="49" t="str">
        <f t="shared" ca="1" si="5"/>
        <v/>
      </c>
      <c r="M40" s="47">
        <f t="shared" si="6"/>
        <v>183351.02765555965</v>
      </c>
      <c r="N40" s="50">
        <v>0</v>
      </c>
      <c r="O40" s="51">
        <f t="shared" si="7"/>
        <v>2.87E-2</v>
      </c>
      <c r="P40" s="47">
        <f t="shared" si="0"/>
        <v>438.5145411428802</v>
      </c>
      <c r="Q40" s="7">
        <f t="shared" si="8"/>
        <v>934.95487455811508</v>
      </c>
      <c r="R40" s="47">
        <f t="shared" si="13"/>
        <v>496.44033341523487</v>
      </c>
      <c r="S40" s="47">
        <f t="shared" si="1"/>
        <v>182854.58732214442</v>
      </c>
      <c r="T40" s="47">
        <f t="shared" si="14"/>
        <v>0</v>
      </c>
      <c r="U40" s="47">
        <f t="shared" si="9"/>
        <v>182854.58732214442</v>
      </c>
      <c r="W40" s="41">
        <f t="shared" ref="W40:W43" si="76">Q40/$Q$40-1</f>
        <v>0</v>
      </c>
      <c r="X40" s="42">
        <f t="shared" ref="X40:X43" si="77">Q40-$Q$40</f>
        <v>0</v>
      </c>
      <c r="Y40" s="26">
        <f>Q40/2500</f>
        <v>0.37398194982324601</v>
      </c>
      <c r="Z40" s="43">
        <v>42339</v>
      </c>
      <c r="AA40" s="15">
        <v>-1.2999999999999999E-3</v>
      </c>
      <c r="AB40" s="15">
        <v>5.0000000000000001E-3</v>
      </c>
      <c r="AC40" s="44">
        <f t="shared" si="67"/>
        <v>3.3700000000000001E-2</v>
      </c>
      <c r="AE40" s="91" t="str">
        <f t="shared" ca="1" si="50"/>
        <v/>
      </c>
      <c r="AF40" s="70">
        <f t="shared" si="41"/>
        <v>44802</v>
      </c>
      <c r="AG40" s="10">
        <f>AG39+3</f>
        <v>44802</v>
      </c>
      <c r="AH40" s="29">
        <v>5.8199999999999997E-3</v>
      </c>
      <c r="AI40" s="87" t="str">
        <f t="shared" ca="1" si="24"/>
        <v/>
      </c>
      <c r="AJ40" s="76">
        <f t="shared" ca="1" si="25"/>
        <v>58.199999999999996</v>
      </c>
      <c r="AK40" s="76">
        <f t="shared" ca="1" si="42"/>
        <v>3.9999999999999929</v>
      </c>
      <c r="AL40" s="76">
        <f t="shared" ca="1" si="52"/>
        <v>2.1714285714285708</v>
      </c>
      <c r="AM40" s="11">
        <f t="shared" si="26"/>
        <v>58.199999999999996</v>
      </c>
      <c r="AN40" s="11">
        <f t="shared" si="27"/>
        <v>539.79867964760251</v>
      </c>
      <c r="AO40" s="11">
        <f t="shared" si="28"/>
        <v>28.21259217489137</v>
      </c>
      <c r="AP40" s="12">
        <f t="shared" si="29"/>
        <v>5.5147301433204586E-2</v>
      </c>
      <c r="AQ40" s="11">
        <f t="shared" si="30"/>
        <v>458.85752304404576</v>
      </c>
      <c r="AR40" s="11">
        <f t="shared" si="31"/>
        <v>29.136796975021753</v>
      </c>
      <c r="AS40" s="12">
        <f t="shared" si="32"/>
        <v>6.7804029937205412E-2</v>
      </c>
      <c r="AT40" s="11">
        <f t="shared" si="33"/>
        <v>405.70317809051693</v>
      </c>
      <c r="AU40" s="11">
        <f t="shared" si="34"/>
        <v>30.05405437839687</v>
      </c>
      <c r="AV40" s="12">
        <f t="shared" si="35"/>
        <v>8.0005655494165065E-2</v>
      </c>
      <c r="AW40" s="10">
        <f t="shared" si="36"/>
        <v>44802</v>
      </c>
      <c r="AX40" s="76">
        <f t="shared" si="58"/>
        <v>99736.081497659296</v>
      </c>
      <c r="AY40" s="75">
        <f t="shared" si="44"/>
        <v>15.037919462980568</v>
      </c>
      <c r="AZ40" s="75">
        <f t="shared" si="37"/>
        <v>7.3832025262102841</v>
      </c>
      <c r="BA40" s="75">
        <f t="shared" si="59"/>
        <v>7.6547169367702841</v>
      </c>
      <c r="BB40" s="75">
        <f t="shared" si="60"/>
        <v>99728.426780722526</v>
      </c>
      <c r="BC40" s="12"/>
      <c r="BD40" s="12"/>
      <c r="BE40" s="83">
        <f t="shared" si="48"/>
        <v>9.0000000000000038E-2</v>
      </c>
      <c r="BF40" s="10">
        <f t="shared" si="54"/>
        <v>44986</v>
      </c>
      <c r="BG40" s="11" t="s">
        <v>86</v>
      </c>
      <c r="BH40" s="11" t="str">
        <f t="shared" ca="1" si="70"/>
        <v/>
      </c>
      <c r="BI40" s="11">
        <f t="shared" ca="1" si="71"/>
        <v>614.68461444537024</v>
      </c>
      <c r="BJ40" s="11">
        <f t="shared" ca="1" si="72"/>
        <v>536.96329245006416</v>
      </c>
      <c r="BK40" s="11" t="e">
        <f t="shared" ca="1" si="55"/>
        <v>#VALUE!</v>
      </c>
      <c r="BL40" s="11">
        <f t="shared" ca="1" si="56"/>
        <v>103.0985269726591</v>
      </c>
      <c r="BM40" s="11">
        <f t="shared" ca="1" si="57"/>
        <v>107.24256638104015</v>
      </c>
      <c r="BN40" s="28">
        <f t="shared" ca="1" si="73"/>
        <v>204.45229681977483</v>
      </c>
      <c r="BO40" s="28">
        <f t="shared" ca="1" si="74"/>
        <v>0.20152722972193521</v>
      </c>
      <c r="BP40" s="28">
        <f t="shared" ca="1" si="75"/>
        <v>0.24956340217067929</v>
      </c>
    </row>
    <row r="41" spans="1:68">
      <c r="C41" s="3">
        <f t="shared" si="2"/>
        <v>4</v>
      </c>
      <c r="D41" s="3">
        <f t="shared" si="10"/>
        <v>9</v>
      </c>
      <c r="E41" s="1">
        <f t="shared" si="11"/>
        <v>2022</v>
      </c>
      <c r="F41" s="3">
        <f t="shared" si="3"/>
        <v>60</v>
      </c>
      <c r="G41" s="3">
        <f t="shared" si="12"/>
        <v>37</v>
      </c>
      <c r="H41" s="4">
        <f t="shared" si="69"/>
        <v>182854.58732214442</v>
      </c>
      <c r="L41" s="25" t="str">
        <f t="shared" ca="1" si="5"/>
        <v>current</v>
      </c>
      <c r="M41" s="52">
        <f t="shared" si="6"/>
        <v>182854.58732214442</v>
      </c>
      <c r="N41" s="53">
        <f>0.5/100</f>
        <v>5.0000000000000001E-3</v>
      </c>
      <c r="O41" s="54">
        <f t="shared" si="7"/>
        <v>3.3700000000000001E-2</v>
      </c>
      <c r="P41" s="52">
        <f t="shared" si="0"/>
        <v>513.51663272968892</v>
      </c>
      <c r="Q41" s="7">
        <f t="shared" si="8"/>
        <v>981.75803699614755</v>
      </c>
      <c r="R41" s="4">
        <f t="shared" si="13"/>
        <v>468.24140426645863</v>
      </c>
      <c r="S41" s="4">
        <f t="shared" si="1"/>
        <v>182386.34591787797</v>
      </c>
      <c r="T41" s="4">
        <f t="shared" si="14"/>
        <v>0</v>
      </c>
      <c r="U41" s="4">
        <f t="shared" si="9"/>
        <v>182386.34591787797</v>
      </c>
      <c r="W41" s="41">
        <f t="shared" si="76"/>
        <v>5.005927420845091E-2</v>
      </c>
      <c r="X41" s="42">
        <f t="shared" si="77"/>
        <v>46.803162438032473</v>
      </c>
      <c r="Y41" s="26">
        <f t="shared" ref="Y41:Y48" si="78">Q41/2500</f>
        <v>0.39270321479845904</v>
      </c>
      <c r="Z41" s="43">
        <v>44166</v>
      </c>
      <c r="AA41" s="15">
        <f>-0.0054</f>
        <v>-5.4000000000000003E-3</v>
      </c>
      <c r="AB41" s="15">
        <v>0</v>
      </c>
      <c r="AC41" s="44">
        <f t="shared" si="67"/>
        <v>2.87E-2</v>
      </c>
      <c r="AE41" s="91" t="str">
        <f t="shared" ca="1" si="50"/>
        <v/>
      </c>
      <c r="AF41" s="70">
        <f t="shared" si="41"/>
        <v>44803</v>
      </c>
      <c r="AG41" s="10">
        <f>AG40+1</f>
        <v>44803</v>
      </c>
      <c r="AH41" s="29">
        <v>6.1999999999999998E-3</v>
      </c>
      <c r="AI41" s="87" t="str">
        <f t="shared" ca="1" si="24"/>
        <v/>
      </c>
      <c r="AJ41" s="76">
        <f t="shared" ca="1" si="25"/>
        <v>62</v>
      </c>
      <c r="AK41" s="76">
        <f t="shared" ca="1" si="42"/>
        <v>3.8000000000000043</v>
      </c>
      <c r="AL41" s="76">
        <f t="shared" ca="1" si="52"/>
        <v>2.3857142857142852</v>
      </c>
      <c r="AM41" s="11">
        <f t="shared" si="26"/>
        <v>62</v>
      </c>
      <c r="AN41" s="11">
        <f t="shared" si="27"/>
        <v>541.67254046164385</v>
      </c>
      <c r="AO41" s="11">
        <f t="shared" si="28"/>
        <v>30.086452988932706</v>
      </c>
      <c r="AP41" s="12">
        <f t="shared" si="29"/>
        <v>5.8810146963853012E-2</v>
      </c>
      <c r="AQ41" s="11">
        <f t="shared" si="30"/>
        <v>460.79911664128775</v>
      </c>
      <c r="AR41" s="11">
        <f t="shared" si="31"/>
        <v>31.078390572263743</v>
      </c>
      <c r="AS41" s="12">
        <f t="shared" si="32"/>
        <v>7.2322298383326683E-2</v>
      </c>
      <c r="AT41" s="11">
        <f t="shared" si="33"/>
        <v>407.71169221243031</v>
      </c>
      <c r="AU41" s="11">
        <f t="shared" si="34"/>
        <v>32.062568500310249</v>
      </c>
      <c r="AV41" s="12">
        <f t="shared" si="35"/>
        <v>8.5352437890635152E-2</v>
      </c>
      <c r="AW41" s="10">
        <f t="shared" si="36"/>
        <v>44803</v>
      </c>
      <c r="AX41" s="76">
        <f t="shared" ref="AX41:AX104" si="79">BB40</f>
        <v>99728.426780722526</v>
      </c>
      <c r="AY41" s="75">
        <f t="shared" si="44"/>
        <v>15.097967780943623</v>
      </c>
      <c r="AZ41" s="75">
        <f t="shared" si="37"/>
        <v>7.4864627227172527</v>
      </c>
      <c r="BA41" s="75">
        <f t="shared" ref="BA41:BA104" si="80">AY41-AZ41</f>
        <v>7.6115050582263706</v>
      </c>
      <c r="BB41" s="75">
        <f t="shared" ref="BB41:BB104" si="81">AX41-BA41</f>
        <v>99720.815275664296</v>
      </c>
      <c r="BC41" s="12"/>
      <c r="BD41" s="12"/>
      <c r="BE41" s="83">
        <f t="shared" si="48"/>
        <v>9.2500000000000041E-2</v>
      </c>
      <c r="BF41" s="10">
        <f t="shared" si="54"/>
        <v>44993</v>
      </c>
      <c r="BG41" s="11" t="s">
        <v>87</v>
      </c>
      <c r="BH41" s="11" t="str">
        <f t="shared" ca="1" si="70"/>
        <v/>
      </c>
      <c r="BI41" s="11">
        <f t="shared" ca="1" si="71"/>
        <v>616.85468566895588</v>
      </c>
      <c r="BJ41" s="11">
        <f t="shared" ca="1" si="72"/>
        <v>539.24029763123576</v>
      </c>
      <c r="BK41" s="11" t="e">
        <f t="shared" ca="1" si="55"/>
        <v>#VALUE!</v>
      </c>
      <c r="BL41" s="11">
        <f t="shared" ca="1" si="56"/>
        <v>105.26859819624474</v>
      </c>
      <c r="BM41" s="11">
        <f t="shared" ca="1" si="57"/>
        <v>109.51957156221175</v>
      </c>
      <c r="BN41" s="28">
        <f t="shared" ca="1" si="73"/>
        <v>208.53356890458309</v>
      </c>
      <c r="BO41" s="28">
        <f t="shared" ca="1" si="74"/>
        <v>0.20576907928884977</v>
      </c>
      <c r="BP41" s="28">
        <f t="shared" ca="1" si="75"/>
        <v>0.25486220449283181</v>
      </c>
    </row>
    <row r="42" spans="1:68">
      <c r="C42" s="3">
        <f t="shared" si="2"/>
        <v>4</v>
      </c>
      <c r="D42" s="3">
        <f t="shared" si="10"/>
        <v>10</v>
      </c>
      <c r="E42" s="1">
        <f t="shared" si="11"/>
        <v>2022</v>
      </c>
      <c r="F42" s="3">
        <f t="shared" si="3"/>
        <v>60</v>
      </c>
      <c r="G42" s="3">
        <f t="shared" si="12"/>
        <v>38</v>
      </c>
      <c r="H42" s="4">
        <f t="shared" si="69"/>
        <v>182386.34591787797</v>
      </c>
      <c r="L42" s="25" t="str">
        <f t="shared" ca="1" si="5"/>
        <v/>
      </c>
      <c r="M42" s="52">
        <f t="shared" si="6"/>
        <v>182386.34591787797</v>
      </c>
      <c r="N42" s="53">
        <f>0.62/100</f>
        <v>6.1999999999999998E-3</v>
      </c>
      <c r="O42" s="54">
        <f t="shared" si="7"/>
        <v>3.49E-2</v>
      </c>
      <c r="P42" s="52">
        <f t="shared" si="0"/>
        <v>530.44028937782844</v>
      </c>
      <c r="Q42" s="7">
        <f t="shared" si="8"/>
        <v>993.15025027304603</v>
      </c>
      <c r="R42" s="4">
        <f t="shared" si="13"/>
        <v>462.70996089521759</v>
      </c>
      <c r="S42" s="4">
        <f t="shared" si="1"/>
        <v>181923.63595698276</v>
      </c>
      <c r="T42" s="4">
        <f t="shared" si="14"/>
        <v>0</v>
      </c>
      <c r="U42" s="4">
        <f t="shared" si="9"/>
        <v>181923.63595698276</v>
      </c>
      <c r="W42" s="41">
        <f t="shared" si="76"/>
        <v>6.2244047599019803E-2</v>
      </c>
      <c r="X42" s="42">
        <f t="shared" si="77"/>
        <v>58.195375714930947</v>
      </c>
      <c r="Y42" s="26">
        <f t="shared" si="78"/>
        <v>0.39726010010921842</v>
      </c>
      <c r="Z42" s="43">
        <v>44531</v>
      </c>
      <c r="AA42" s="15">
        <v>-5.8999999999999999E-3</v>
      </c>
      <c r="AB42" s="15">
        <v>0</v>
      </c>
      <c r="AC42" s="44">
        <f t="shared" si="67"/>
        <v>2.87E-2</v>
      </c>
      <c r="AE42" s="91" t="str">
        <f t="shared" ca="1" si="50"/>
        <v/>
      </c>
      <c r="AF42" s="70">
        <f t="shared" si="41"/>
        <v>44804</v>
      </c>
      <c r="AG42" s="10">
        <f t="shared" ref="AG42:AG44" si="82">AG41+1</f>
        <v>44804</v>
      </c>
      <c r="AH42" s="29">
        <v>6.5399999999999998E-3</v>
      </c>
      <c r="AI42" s="87" t="str">
        <f t="shared" ca="1" si="24"/>
        <v/>
      </c>
      <c r="AJ42" s="76">
        <f t="shared" ca="1" si="25"/>
        <v>65.399999999999991</v>
      </c>
      <c r="AK42" s="76">
        <f t="shared" ca="1" si="42"/>
        <v>3.3999999999999915</v>
      </c>
      <c r="AL42" s="76">
        <f t="shared" ca="1" si="52"/>
        <v>2.6571428571428553</v>
      </c>
      <c r="AM42" s="11">
        <f t="shared" si="26"/>
        <v>65.399999999999991</v>
      </c>
      <c r="AN42" s="11">
        <f t="shared" si="27"/>
        <v>543.35244146131174</v>
      </c>
      <c r="AO42" s="11">
        <f t="shared" si="28"/>
        <v>31.766353988600599</v>
      </c>
      <c r="AP42" s="12">
        <f t="shared" si="29"/>
        <v>6.209385823123087E-2</v>
      </c>
      <c r="AQ42" s="11">
        <f t="shared" si="30"/>
        <v>462.54037471057717</v>
      </c>
      <c r="AR42" s="11">
        <f t="shared" si="31"/>
        <v>32.819648641553158</v>
      </c>
      <c r="AS42" s="12">
        <f t="shared" si="32"/>
        <v>7.6374367468329873E-2</v>
      </c>
      <c r="AT42" s="11">
        <f t="shared" si="33"/>
        <v>409.51353733805763</v>
      </c>
      <c r="AU42" s="11">
        <f t="shared" si="34"/>
        <v>33.864413625937573</v>
      </c>
      <c r="AV42" s="12">
        <f t="shared" si="35"/>
        <v>9.0149055297383512E-2</v>
      </c>
      <c r="AW42" s="10">
        <f t="shared" si="36"/>
        <v>44804</v>
      </c>
      <c r="AX42" s="76">
        <f t="shared" si="79"/>
        <v>99720.815275664296</v>
      </c>
      <c r="AY42" s="75">
        <f t="shared" si="44"/>
        <v>15.153768822686406</v>
      </c>
      <c r="AZ42" s="75">
        <f t="shared" si="37"/>
        <v>7.5787819609504865</v>
      </c>
      <c r="BA42" s="75">
        <f t="shared" si="80"/>
        <v>7.5749868617359191</v>
      </c>
      <c r="BB42" s="75">
        <f t="shared" si="81"/>
        <v>99713.240288802554</v>
      </c>
      <c r="BC42" s="12"/>
      <c r="BD42" s="12"/>
      <c r="BE42" s="83">
        <f>BE41+0.0025</f>
        <v>9.5000000000000043E-2</v>
      </c>
      <c r="BF42" s="10">
        <f t="shared" si="54"/>
        <v>45000</v>
      </c>
      <c r="BG42" s="11" t="s">
        <v>88</v>
      </c>
      <c r="BH42" s="11" t="str">
        <f t="shared" ca="1" si="70"/>
        <v/>
      </c>
      <c r="BI42" s="11">
        <f t="shared" ca="1" si="71"/>
        <v>619.02904820946924</v>
      </c>
      <c r="BJ42" s="11">
        <f t="shared" ca="1" si="72"/>
        <v>541.52246189142704</v>
      </c>
      <c r="BK42" s="11" t="e">
        <f t="shared" ca="1" si="55"/>
        <v>#VALUE!</v>
      </c>
      <c r="BL42" s="11">
        <f t="shared" ca="1" si="56"/>
        <v>107.4429607367581</v>
      </c>
      <c r="BM42" s="11">
        <f t="shared" ca="1" si="57"/>
        <v>111.80173582240303</v>
      </c>
      <c r="BN42" s="28">
        <f t="shared" ca="1" si="73"/>
        <v>212.61484098938243</v>
      </c>
      <c r="BO42" s="28">
        <f t="shared" ca="1" si="74"/>
        <v>0.21001931711540003</v>
      </c>
      <c r="BP42" s="28">
        <f t="shared" ca="1" si="75"/>
        <v>0.26017301247053382</v>
      </c>
    </row>
    <row r="43" spans="1:68">
      <c r="C43" s="3">
        <f t="shared" si="2"/>
        <v>4</v>
      </c>
      <c r="D43" s="3">
        <f t="shared" si="10"/>
        <v>11</v>
      </c>
      <c r="E43" s="1">
        <f t="shared" si="11"/>
        <v>2022</v>
      </c>
      <c r="F43" s="3">
        <f t="shared" si="3"/>
        <v>60</v>
      </c>
      <c r="G43" s="3">
        <f t="shared" si="12"/>
        <v>39</v>
      </c>
      <c r="H43" s="4">
        <f t="shared" si="69"/>
        <v>181923.63595698276</v>
      </c>
      <c r="L43" s="25" t="str">
        <f t="shared" ca="1" si="5"/>
        <v/>
      </c>
      <c r="M43" s="52">
        <f t="shared" si="6"/>
        <v>181923.63595698276</v>
      </c>
      <c r="N43" s="53">
        <v>1.2500000000000001E-2</v>
      </c>
      <c r="O43" s="54">
        <f t="shared" si="7"/>
        <v>4.1200000000000001E-2</v>
      </c>
      <c r="P43" s="52">
        <f t="shared" si="0"/>
        <v>624.60448345230748</v>
      </c>
      <c r="Q43" s="7">
        <f t="shared" si="8"/>
        <v>1053.9830631854038</v>
      </c>
      <c r="R43" s="4">
        <f t="shared" si="13"/>
        <v>429.37857973309633</v>
      </c>
      <c r="S43" s="4">
        <f t="shared" si="1"/>
        <v>181494.25737724965</v>
      </c>
      <c r="T43" s="4">
        <f t="shared" si="14"/>
        <v>0</v>
      </c>
      <c r="U43" s="4">
        <f t="shared" si="9"/>
        <v>181494.25737724965</v>
      </c>
      <c r="W43" s="41">
        <f t="shared" si="76"/>
        <v>0.12730901978937181</v>
      </c>
      <c r="X43" s="42">
        <f t="shared" si="77"/>
        <v>119.02818862728873</v>
      </c>
      <c r="Y43" s="26">
        <f t="shared" si="78"/>
        <v>0.42159322527416154</v>
      </c>
      <c r="Z43" s="43">
        <v>44743</v>
      </c>
      <c r="AA43" s="15">
        <v>2.3E-3</v>
      </c>
      <c r="AB43" s="15">
        <v>5.0000000000000001E-3</v>
      </c>
      <c r="AC43" s="44">
        <f t="shared" si="67"/>
        <v>3.3700000000000001E-2</v>
      </c>
      <c r="AE43" s="91" t="str">
        <f t="shared" ca="1" si="50"/>
        <v/>
      </c>
      <c r="AF43" s="70">
        <f t="shared" si="41"/>
        <v>44805</v>
      </c>
      <c r="AG43" s="10">
        <f t="shared" si="82"/>
        <v>44805</v>
      </c>
      <c r="AH43" s="29">
        <v>7.1199999999999996E-3</v>
      </c>
      <c r="AI43" s="87" t="str">
        <f t="shared" ca="1" si="24"/>
        <v/>
      </c>
      <c r="AJ43" s="76">
        <f t="shared" ca="1" si="25"/>
        <v>71.2</v>
      </c>
      <c r="AK43" s="76">
        <f t="shared" ca="1" si="42"/>
        <v>5.8000000000000114</v>
      </c>
      <c r="AL43" s="76">
        <f t="shared" ca="1" si="52"/>
        <v>3.1285714285714286</v>
      </c>
      <c r="AM43" s="11">
        <f t="shared" si="26"/>
        <v>71.2</v>
      </c>
      <c r="AN43" s="11">
        <f t="shared" si="27"/>
        <v>546.22531623670193</v>
      </c>
      <c r="AO43" s="11">
        <f t="shared" si="28"/>
        <v>34.639228763990786</v>
      </c>
      <c r="AP43" s="12">
        <f t="shared" si="29"/>
        <v>6.7709481575451369E-2</v>
      </c>
      <c r="AQ43" s="11">
        <f t="shared" si="30"/>
        <v>465.51955476542867</v>
      </c>
      <c r="AR43" s="11">
        <f t="shared" si="31"/>
        <v>35.798828696404655</v>
      </c>
      <c r="AS43" s="12">
        <f t="shared" si="32"/>
        <v>8.3307195870870002E-2</v>
      </c>
      <c r="AT43" s="11">
        <f t="shared" si="33"/>
        <v>412.59761212776016</v>
      </c>
      <c r="AU43" s="11">
        <f t="shared" si="34"/>
        <v>36.948488415640099</v>
      </c>
      <c r="AV43" s="12">
        <f t="shared" si="35"/>
        <v>9.8359043275595914E-2</v>
      </c>
      <c r="AW43" s="10">
        <f t="shared" si="36"/>
        <v>44805</v>
      </c>
      <c r="AX43" s="76">
        <f t="shared" si="79"/>
        <v>99713.240288802554</v>
      </c>
      <c r="AY43" s="75">
        <f t="shared" si="44"/>
        <v>15.250055408739215</v>
      </c>
      <c r="AZ43" s="75">
        <f t="shared" si="37"/>
        <v>7.7366546985722966</v>
      </c>
      <c r="BA43" s="75">
        <f t="shared" si="80"/>
        <v>7.513400710166918</v>
      </c>
      <c r="BB43" s="75">
        <f t="shared" si="81"/>
        <v>99705.72688809238</v>
      </c>
      <c r="BC43" s="12"/>
      <c r="BD43" s="12"/>
      <c r="BE43" s="83">
        <f t="shared" si="48"/>
        <v>9.7500000000000045E-2</v>
      </c>
      <c r="BF43" s="10">
        <f t="shared" si="54"/>
        <v>45007</v>
      </c>
      <c r="BG43" s="11" t="s">
        <v>89</v>
      </c>
      <c r="BH43" s="11" t="str">
        <f t="shared" ca="1" si="70"/>
        <v/>
      </c>
      <c r="BI43" s="11">
        <f t="shared" ca="1" si="71"/>
        <v>621.20769604185671</v>
      </c>
      <c r="BJ43" s="11">
        <f t="shared" ca="1" si="72"/>
        <v>543.80977414496942</v>
      </c>
      <c r="BK43" s="11" t="e">
        <f t="shared" ca="1" si="55"/>
        <v>#VALUE!</v>
      </c>
      <c r="BL43" s="11">
        <f t="shared" ca="1" si="56"/>
        <v>109.62160856914556</v>
      </c>
      <c r="BM43" s="11">
        <f t="shared" ca="1" si="57"/>
        <v>114.08904807594541</v>
      </c>
      <c r="BN43" s="28">
        <f t="shared" ca="1" si="73"/>
        <v>216.69611307418623</v>
      </c>
      <c r="BO43" s="28">
        <f t="shared" ca="1" si="74"/>
        <v>0.21427793142438215</v>
      </c>
      <c r="BP43" s="28">
        <f t="shared" ca="1" si="75"/>
        <v>0.26549580030640607</v>
      </c>
    </row>
    <row r="44" spans="1:68" s="33" customFormat="1">
      <c r="C44" s="32">
        <f t="shared" si="2"/>
        <v>4</v>
      </c>
      <c r="D44" s="32">
        <f t="shared" si="10"/>
        <v>12</v>
      </c>
      <c r="E44" s="33">
        <f t="shared" si="11"/>
        <v>2022</v>
      </c>
      <c r="F44" s="32">
        <f t="shared" si="3"/>
        <v>60</v>
      </c>
      <c r="G44" s="32">
        <f t="shared" si="12"/>
        <v>40</v>
      </c>
      <c r="H44" s="34">
        <f t="shared" si="69"/>
        <v>181494.25737724965</v>
      </c>
      <c r="I44" s="35"/>
      <c r="J44" s="35"/>
      <c r="K44" s="35"/>
      <c r="L44" s="37" t="str">
        <f t="shared" ca="1" si="5"/>
        <v/>
      </c>
      <c r="M44" s="55">
        <f t="shared" si="6"/>
        <v>181494.25737724965</v>
      </c>
      <c r="N44" s="56">
        <v>2.18E-2</v>
      </c>
      <c r="O44" s="57">
        <f t="shared" si="7"/>
        <v>5.0499999999999996E-2</v>
      </c>
      <c r="P44" s="55">
        <f t="shared" si="0"/>
        <v>763.78833312925883</v>
      </c>
      <c r="Q44" s="40">
        <f t="shared" si="8"/>
        <v>1147.1423660440394</v>
      </c>
      <c r="R44" s="34">
        <f t="shared" si="13"/>
        <v>383.35403291478053</v>
      </c>
      <c r="S44" s="34">
        <f t="shared" si="1"/>
        <v>181110.90334433486</v>
      </c>
      <c r="T44" s="34">
        <f t="shared" si="14"/>
        <v>0</v>
      </c>
      <c r="U44" s="34">
        <f t="shared" si="9"/>
        <v>181110.90334433486</v>
      </c>
      <c r="W44" s="41">
        <f>Q44/$Q$40-1</f>
        <v>0.22694944671657002</v>
      </c>
      <c r="X44" s="42">
        <f>Q44-$Q$40</f>
        <v>212.18749148592428</v>
      </c>
      <c r="Y44" s="26">
        <f t="shared" si="78"/>
        <v>0.45885694641761576</v>
      </c>
      <c r="Z44" s="58">
        <v>44813</v>
      </c>
      <c r="AA44" s="59">
        <v>8.2199999999999999E-3</v>
      </c>
      <c r="AB44" s="60">
        <v>1.2500000000000001E-2</v>
      </c>
      <c r="AC44" s="61">
        <f t="shared" si="67"/>
        <v>4.1200000000000001E-2</v>
      </c>
      <c r="AE44" s="91" t="str">
        <f t="shared" ca="1" si="50"/>
        <v/>
      </c>
      <c r="AF44" s="70">
        <f t="shared" si="41"/>
        <v>44806</v>
      </c>
      <c r="AG44" s="10">
        <f t="shared" si="82"/>
        <v>44806</v>
      </c>
      <c r="AH44" s="29">
        <v>7.6299999999999996E-3</v>
      </c>
      <c r="AI44" s="87" t="str">
        <f t="shared" ca="1" si="24"/>
        <v/>
      </c>
      <c r="AJ44" s="76">
        <f t="shared" ca="1" si="25"/>
        <v>76.3</v>
      </c>
      <c r="AK44" s="76">
        <f t="shared" ca="1" si="42"/>
        <v>5.0999999999999943</v>
      </c>
      <c r="AL44" s="76">
        <f t="shared" ca="1" si="52"/>
        <v>3.5</v>
      </c>
      <c r="AM44" s="11">
        <f t="shared" si="26"/>
        <v>76.3</v>
      </c>
      <c r="AN44" s="11">
        <f t="shared" si="27"/>
        <v>548.75891698410157</v>
      </c>
      <c r="AO44" s="11">
        <f t="shared" si="28"/>
        <v>37.172829511390432</v>
      </c>
      <c r="AP44" s="12">
        <f t="shared" si="29"/>
        <v>7.2661924203271638E-2</v>
      </c>
      <c r="AQ44" s="11">
        <f t="shared" si="30"/>
        <v>468.14832929090852</v>
      </c>
      <c r="AR44" s="11">
        <f t="shared" si="31"/>
        <v>38.42760322188451</v>
      </c>
      <c r="AS44" s="12">
        <f t="shared" si="32"/>
        <v>8.942459809516394E-2</v>
      </c>
      <c r="AT44" s="11">
        <f t="shared" si="33"/>
        <v>415.32021594794247</v>
      </c>
      <c r="AU44" s="11">
        <f t="shared" si="34"/>
        <v>39.671092235822414</v>
      </c>
      <c r="AV44" s="12">
        <f t="shared" si="35"/>
        <v>0.10560677433184826</v>
      </c>
      <c r="AW44" s="10">
        <f t="shared" si="36"/>
        <v>44806</v>
      </c>
      <c r="AX44" s="76">
        <f t="shared" si="79"/>
        <v>99705.72688809238</v>
      </c>
      <c r="AY44" s="75">
        <f t="shared" si="44"/>
        <v>15.334878759164715</v>
      </c>
      <c r="AZ44" s="75">
        <f t="shared" si="37"/>
        <v>7.8753865922841193</v>
      </c>
      <c r="BA44" s="75">
        <f t="shared" si="80"/>
        <v>7.4594921668805956</v>
      </c>
      <c r="BB44" s="75">
        <f t="shared" si="81"/>
        <v>99698.267395925504</v>
      </c>
      <c r="BC44" s="12"/>
      <c r="BD44" s="12"/>
      <c r="BE44" s="83">
        <f t="shared" si="48"/>
        <v>0.10000000000000005</v>
      </c>
      <c r="BF44" s="10">
        <f t="shared" si="54"/>
        <v>45014</v>
      </c>
      <c r="BG44" s="11" t="s">
        <v>90</v>
      </c>
      <c r="BH44" s="11" t="str">
        <f t="shared" ca="1" si="70"/>
        <v/>
      </c>
      <c r="BI44" s="11">
        <f t="shared" ca="1" si="71"/>
        <v>623.39062309529936</v>
      </c>
      <c r="BJ44" s="11">
        <f t="shared" ca="1" si="72"/>
        <v>546.10222323064431</v>
      </c>
      <c r="BK44" s="11" t="e">
        <f t="shared" ca="1" si="55"/>
        <v>#VALUE!</v>
      </c>
      <c r="BL44" s="11">
        <f t="shared" ca="1" si="56"/>
        <v>111.80453562258822</v>
      </c>
      <c r="BM44" s="11">
        <f t="shared" ca="1" si="57"/>
        <v>116.3814971616203</v>
      </c>
      <c r="BN44" s="28">
        <f t="shared" ca="1" si="73"/>
        <v>220.77738515899449</v>
      </c>
      <c r="BO44" s="28">
        <f t="shared" ca="1" si="74"/>
        <v>0.21854491034913465</v>
      </c>
      <c r="BP44" s="28">
        <f t="shared" ca="1" si="75"/>
        <v>0.27083054202725726</v>
      </c>
    </row>
    <row r="45" spans="1:68">
      <c r="C45" s="3">
        <f t="shared" si="2"/>
        <v>4</v>
      </c>
      <c r="D45" s="3">
        <f t="shared" si="10"/>
        <v>1</v>
      </c>
      <c r="E45" s="1">
        <f t="shared" si="11"/>
        <v>2023</v>
      </c>
      <c r="F45" s="3">
        <f t="shared" si="3"/>
        <v>60</v>
      </c>
      <c r="G45" s="3">
        <f t="shared" si="12"/>
        <v>41</v>
      </c>
      <c r="H45" s="4">
        <f t="shared" si="69"/>
        <v>181110.90334433486</v>
      </c>
      <c r="L45" s="25" t="str">
        <f t="shared" ca="1" si="5"/>
        <v/>
      </c>
      <c r="M45" s="4">
        <f t="shared" si="6"/>
        <v>181110.90334433486</v>
      </c>
      <c r="N45" s="5">
        <f t="shared" ref="N45:N108" si="83">N44</f>
        <v>2.18E-2</v>
      </c>
      <c r="O45" s="6">
        <f t="shared" si="7"/>
        <v>5.0499999999999996E-2</v>
      </c>
      <c r="P45" s="4">
        <f t="shared" si="0"/>
        <v>762.17505157407584</v>
      </c>
      <c r="Q45" s="7">
        <f t="shared" si="8"/>
        <v>1147.1423660440394</v>
      </c>
      <c r="R45" s="4">
        <f t="shared" si="13"/>
        <v>384.96731446996353</v>
      </c>
      <c r="S45" s="4">
        <f t="shared" si="1"/>
        <v>180725.93602986488</v>
      </c>
      <c r="T45" s="4">
        <f t="shared" si="14"/>
        <v>0</v>
      </c>
      <c r="U45" s="4">
        <f t="shared" si="9"/>
        <v>180725.93602986488</v>
      </c>
      <c r="W45" s="26">
        <f t="shared" si="15"/>
        <v>0</v>
      </c>
      <c r="X45" s="27">
        <f t="shared" si="16"/>
        <v>0</v>
      </c>
      <c r="Y45" s="26">
        <f t="shared" si="78"/>
        <v>0.45885694641761576</v>
      </c>
      <c r="AE45" s="91" t="str">
        <f t="shared" ca="1" si="50"/>
        <v/>
      </c>
      <c r="AF45" s="70">
        <f t="shared" si="41"/>
        <v>44809</v>
      </c>
      <c r="AG45" s="10">
        <f>AG44+3</f>
        <v>44809</v>
      </c>
      <c r="AH45" s="29">
        <v>7.8300000000000002E-3</v>
      </c>
      <c r="AI45" s="87" t="str">
        <f t="shared" ca="1" si="24"/>
        <v/>
      </c>
      <c r="AJ45" s="76">
        <f t="shared" ca="1" si="25"/>
        <v>78.3</v>
      </c>
      <c r="AK45" s="76">
        <f t="shared" ca="1" si="42"/>
        <v>2</v>
      </c>
      <c r="AL45" s="76">
        <f t="shared" ca="1" si="52"/>
        <v>3.4428571428571422</v>
      </c>
      <c r="AM45" s="11">
        <f t="shared" si="26"/>
        <v>78.3</v>
      </c>
      <c r="AN45" s="11">
        <f t="shared" si="27"/>
        <v>549.754387568266</v>
      </c>
      <c r="AO45" s="11">
        <f t="shared" si="28"/>
        <v>38.168300095554855</v>
      </c>
      <c r="AP45" s="12">
        <f t="shared" si="29"/>
        <v>7.4607775758934833E-2</v>
      </c>
      <c r="AQ45" s="11">
        <f t="shared" si="30"/>
        <v>469.18155507290896</v>
      </c>
      <c r="AR45" s="11">
        <f t="shared" si="31"/>
        <v>39.460829003884953</v>
      </c>
      <c r="AS45" s="12">
        <f t="shared" si="32"/>
        <v>9.1829010354847404E-2</v>
      </c>
      <c r="AT45" s="11">
        <f t="shared" si="33"/>
        <v>416.39064234090898</v>
      </c>
      <c r="AU45" s="11">
        <f t="shared" si="34"/>
        <v>40.741518628788924</v>
      </c>
      <c r="AV45" s="12">
        <f t="shared" si="35"/>
        <v>0.10845631217287577</v>
      </c>
      <c r="AW45" s="10">
        <f t="shared" si="36"/>
        <v>44809</v>
      </c>
      <c r="AX45" s="76">
        <f t="shared" si="79"/>
        <v>99698.267395925504</v>
      </c>
      <c r="AY45" s="75">
        <f t="shared" si="44"/>
        <v>15.36981384017389</v>
      </c>
      <c r="AZ45" s="75">
        <f t="shared" si="37"/>
        <v>7.9294265822019652</v>
      </c>
      <c r="BA45" s="75">
        <f t="shared" si="80"/>
        <v>7.440387257971925</v>
      </c>
      <c r="BB45" s="75">
        <f t="shared" si="81"/>
        <v>99690.827008667533</v>
      </c>
      <c r="BC45" s="12"/>
      <c r="BD45" s="12"/>
      <c r="BE45" s="83">
        <f t="shared" si="48"/>
        <v>0.10250000000000005</v>
      </c>
      <c r="BF45" s="10">
        <f t="shared" si="54"/>
        <v>45021</v>
      </c>
      <c r="BG45" s="11" t="s">
        <v>91</v>
      </c>
      <c r="BH45" s="11" t="str">
        <f t="shared" ca="1" si="70"/>
        <v/>
      </c>
      <c r="BI45" s="11">
        <f t="shared" ca="1" si="71"/>
        <v>625.57782325366395</v>
      </c>
      <c r="BJ45" s="11">
        <f t="shared" ca="1" si="72"/>
        <v>548.39979791255303</v>
      </c>
      <c r="BK45" s="11" t="e">
        <f t="shared" ca="1" si="55"/>
        <v>#VALUE!</v>
      </c>
      <c r="BL45" s="11">
        <f t="shared" ca="1" si="56"/>
        <v>113.99173578095281</v>
      </c>
      <c r="BM45" s="11">
        <f t="shared" ca="1" si="57"/>
        <v>118.67907184352902</v>
      </c>
      <c r="BN45" s="28">
        <f t="shared" ca="1" si="73"/>
        <v>224.85865724380272</v>
      </c>
      <c r="BO45" s="28">
        <f t="shared" ca="1" si="74"/>
        <v>0.22282024193441993</v>
      </c>
      <c r="BP45" s="28">
        <f t="shared" ca="1" si="75"/>
        <v>0.27617721148610869</v>
      </c>
    </row>
    <row r="46" spans="1:68">
      <c r="C46" s="3">
        <f t="shared" si="2"/>
        <v>4</v>
      </c>
      <c r="D46" s="3">
        <f t="shared" si="10"/>
        <v>2</v>
      </c>
      <c r="E46" s="1">
        <f t="shared" si="11"/>
        <v>2023</v>
      </c>
      <c r="F46" s="3">
        <f t="shared" si="3"/>
        <v>61</v>
      </c>
      <c r="G46" s="3">
        <f t="shared" si="12"/>
        <v>42</v>
      </c>
      <c r="H46" s="4">
        <f t="shared" si="69"/>
        <v>180725.93602986488</v>
      </c>
      <c r="L46" s="25" t="str">
        <f t="shared" ca="1" si="5"/>
        <v/>
      </c>
      <c r="M46" s="4">
        <f t="shared" si="6"/>
        <v>180725.93602986488</v>
      </c>
      <c r="N46" s="5">
        <f t="shared" si="83"/>
        <v>2.18E-2</v>
      </c>
      <c r="O46" s="6">
        <f t="shared" si="7"/>
        <v>5.0499999999999996E-2</v>
      </c>
      <c r="P46" s="4">
        <f t="shared" si="0"/>
        <v>760.55498079234803</v>
      </c>
      <c r="Q46" s="7">
        <f t="shared" si="8"/>
        <v>1147.1423660440394</v>
      </c>
      <c r="R46" s="4">
        <f t="shared" si="13"/>
        <v>386.58738525169133</v>
      </c>
      <c r="S46" s="4">
        <f t="shared" si="1"/>
        <v>180339.3486446132</v>
      </c>
      <c r="T46" s="4">
        <f t="shared" si="14"/>
        <v>0</v>
      </c>
      <c r="U46" s="4">
        <f t="shared" si="9"/>
        <v>180339.3486446132</v>
      </c>
      <c r="W46" s="26">
        <f t="shared" si="15"/>
        <v>0</v>
      </c>
      <c r="X46" s="27">
        <f t="shared" si="16"/>
        <v>0</v>
      </c>
      <c r="Y46" s="26">
        <f t="shared" si="78"/>
        <v>0.45885694641761576</v>
      </c>
      <c r="AE46" s="91" t="str">
        <f t="shared" ca="1" si="50"/>
        <v/>
      </c>
      <c r="AF46" s="70">
        <f t="shared" si="41"/>
        <v>44810</v>
      </c>
      <c r="AG46" s="10">
        <f>AG45+1</f>
        <v>44810</v>
      </c>
      <c r="AH46" s="29">
        <v>8.1600000000000006E-3</v>
      </c>
      <c r="AI46" s="87" t="str">
        <f t="shared" ca="1" si="24"/>
        <v/>
      </c>
      <c r="AJ46" s="76">
        <f t="shared" ca="1" si="25"/>
        <v>81.600000000000009</v>
      </c>
      <c r="AK46" s="76">
        <f t="shared" ca="1" si="42"/>
        <v>3.3000000000000114</v>
      </c>
      <c r="AL46" s="76">
        <f t="shared" ca="1" si="52"/>
        <v>3.3428571428571447</v>
      </c>
      <c r="AM46" s="11">
        <f t="shared" si="26"/>
        <v>81.600000000000009</v>
      </c>
      <c r="AN46" s="11">
        <f t="shared" si="27"/>
        <v>551.39925433408609</v>
      </c>
      <c r="AO46" s="11">
        <f t="shared" si="28"/>
        <v>39.813166861374953</v>
      </c>
      <c r="AP46" s="12">
        <f t="shared" si="29"/>
        <v>7.7823005426234645E-2</v>
      </c>
      <c r="AQ46" s="11">
        <f t="shared" si="30"/>
        <v>470.88924847335193</v>
      </c>
      <c r="AR46" s="11">
        <f t="shared" si="31"/>
        <v>41.168522404327916</v>
      </c>
      <c r="AS46" s="12">
        <f t="shared" si="32"/>
        <v>9.5802971341240842E-2</v>
      </c>
      <c r="AT46" s="11">
        <f t="shared" si="33"/>
        <v>418.16021290715457</v>
      </c>
      <c r="AU46" s="11">
        <f t="shared" si="34"/>
        <v>42.511089195034515</v>
      </c>
      <c r="AV46" s="12">
        <f t="shared" si="35"/>
        <v>0.11316701280957341</v>
      </c>
      <c r="AW46" s="10">
        <f t="shared" si="36"/>
        <v>44810</v>
      </c>
      <c r="AX46" s="76">
        <f t="shared" si="79"/>
        <v>99690.827008667533</v>
      </c>
      <c r="AY46" s="75">
        <f t="shared" si="44"/>
        <v>15.422215464313743</v>
      </c>
      <c r="AZ46" s="75">
        <f t="shared" si="37"/>
        <v>8.0189662492451479</v>
      </c>
      <c r="BA46" s="75">
        <f t="shared" si="80"/>
        <v>7.4032492150685947</v>
      </c>
      <c r="BB46" s="75">
        <f t="shared" si="81"/>
        <v>99683.42375945246</v>
      </c>
      <c r="BC46" s="12"/>
      <c r="BD46" s="12"/>
      <c r="BE46" s="83">
        <f t="shared" si="48"/>
        <v>0.10500000000000005</v>
      </c>
      <c r="BF46" s="10">
        <f t="shared" si="54"/>
        <v>45028</v>
      </c>
      <c r="BG46" s="11" t="s">
        <v>92</v>
      </c>
      <c r="BH46" s="11" t="str">
        <f t="shared" ca="1" si="70"/>
        <v/>
      </c>
      <c r="BI46" s="11">
        <f t="shared" ca="1" si="71"/>
        <v>627.76929035553292</v>
      </c>
      <c r="BJ46" s="11">
        <f t="shared" ca="1" si="72"/>
        <v>550.70248688066192</v>
      </c>
      <c r="BK46" s="11" t="e">
        <f t="shared" ca="1" si="55"/>
        <v>#VALUE!</v>
      </c>
      <c r="BL46" s="11">
        <f t="shared" ca="1" si="56"/>
        <v>116.18320288282177</v>
      </c>
      <c r="BM46" s="11">
        <f t="shared" ca="1" si="57"/>
        <v>120.98176081163791</v>
      </c>
      <c r="BN46" s="28">
        <f t="shared" ca="1" si="73"/>
        <v>228.93992932861539</v>
      </c>
      <c r="BO46" s="28">
        <f t="shared" ca="1" si="74"/>
        <v>0.22710391413648282</v>
      </c>
      <c r="BP46" s="28">
        <f t="shared" ca="1" si="75"/>
        <v>0.28153578236346272</v>
      </c>
    </row>
    <row r="47" spans="1:68">
      <c r="C47" s="3">
        <f t="shared" si="2"/>
        <v>4</v>
      </c>
      <c r="D47" s="3">
        <f t="shared" si="10"/>
        <v>3</v>
      </c>
      <c r="E47" s="1">
        <f t="shared" si="11"/>
        <v>2023</v>
      </c>
      <c r="F47" s="3">
        <f t="shared" si="3"/>
        <v>61</v>
      </c>
      <c r="G47" s="3">
        <f t="shared" si="12"/>
        <v>43</v>
      </c>
      <c r="H47" s="4">
        <f t="shared" si="69"/>
        <v>180339.3486446132</v>
      </c>
      <c r="L47" s="25" t="str">
        <f t="shared" ca="1" si="5"/>
        <v/>
      </c>
      <c r="M47" s="4">
        <f t="shared" si="6"/>
        <v>180339.3486446132</v>
      </c>
      <c r="N47" s="5">
        <f t="shared" si="83"/>
        <v>2.18E-2</v>
      </c>
      <c r="O47" s="6">
        <f t="shared" si="7"/>
        <v>5.0499999999999996E-2</v>
      </c>
      <c r="P47" s="4">
        <f t="shared" si="0"/>
        <v>758.92809221274717</v>
      </c>
      <c r="Q47" s="7">
        <f t="shared" si="8"/>
        <v>1147.1423660440391</v>
      </c>
      <c r="R47" s="4">
        <f t="shared" si="13"/>
        <v>388.21427383129196</v>
      </c>
      <c r="S47" s="4">
        <f t="shared" si="1"/>
        <v>179951.13437078192</v>
      </c>
      <c r="T47" s="4">
        <f t="shared" si="14"/>
        <v>0</v>
      </c>
      <c r="U47" s="4">
        <f t="shared" si="9"/>
        <v>179951.13437078192</v>
      </c>
      <c r="W47" s="26">
        <f t="shared" si="15"/>
        <v>0</v>
      </c>
      <c r="X47" s="27">
        <f t="shared" si="16"/>
        <v>0</v>
      </c>
      <c r="Y47" s="26">
        <f t="shared" si="78"/>
        <v>0.45885694641761565</v>
      </c>
      <c r="AE47" s="91" t="str">
        <f t="shared" ca="1" si="50"/>
        <v/>
      </c>
      <c r="AF47" s="70">
        <f t="shared" si="41"/>
        <v>44811</v>
      </c>
      <c r="AG47" s="10">
        <f t="shared" ref="AG47:AG49" si="84">AG46+1</f>
        <v>44811</v>
      </c>
      <c r="AH47" s="29">
        <v>8.2199999999999999E-3</v>
      </c>
      <c r="AI47" s="87" t="str">
        <f t="shared" ca="1" si="24"/>
        <v/>
      </c>
      <c r="AJ47" s="76">
        <f t="shared" ca="1" si="25"/>
        <v>82.2</v>
      </c>
      <c r="AK47" s="76">
        <f t="shared" ca="1" si="42"/>
        <v>0.59999999999999432</v>
      </c>
      <c r="AL47" s="76">
        <f t="shared" ca="1" si="52"/>
        <v>2.8857142857142861</v>
      </c>
      <c r="AM47" s="11">
        <f t="shared" si="26"/>
        <v>82.2</v>
      </c>
      <c r="AN47" s="11">
        <f t="shared" si="27"/>
        <v>551.69863397963786</v>
      </c>
      <c r="AO47" s="11">
        <f t="shared" si="28"/>
        <v>40.112546506926719</v>
      </c>
      <c r="AP47" s="12">
        <f t="shared" si="29"/>
        <v>7.8408204384694868E-2</v>
      </c>
      <c r="AQ47" s="11">
        <f t="shared" si="30"/>
        <v>471.20012199608078</v>
      </c>
      <c r="AR47" s="11">
        <f t="shared" si="31"/>
        <v>41.479395927056771</v>
      </c>
      <c r="AS47" s="12">
        <f t="shared" si="32"/>
        <v>9.6526402872162451E-2</v>
      </c>
      <c r="AT47" s="11">
        <f t="shared" si="33"/>
        <v>418.48240301836347</v>
      </c>
      <c r="AU47" s="11">
        <f t="shared" si="34"/>
        <v>42.833279306243412</v>
      </c>
      <c r="AV47" s="12">
        <f t="shared" si="35"/>
        <v>0.11402470178279675</v>
      </c>
      <c r="AW47" s="10">
        <f t="shared" si="36"/>
        <v>44811</v>
      </c>
      <c r="AX47" s="76">
        <f t="shared" si="79"/>
        <v>99683.42375945246</v>
      </c>
      <c r="AY47" s="75">
        <f t="shared" si="44"/>
        <v>15.431235124987609</v>
      </c>
      <c r="AZ47" s="75">
        <f t="shared" si="37"/>
        <v>8.034757060282443</v>
      </c>
      <c r="BA47" s="75">
        <f t="shared" si="80"/>
        <v>7.3964780647051658</v>
      </c>
      <c r="BB47" s="75">
        <f t="shared" si="81"/>
        <v>99676.027281387753</v>
      </c>
      <c r="BC47" s="12"/>
      <c r="BD47" s="12"/>
      <c r="BE47" s="83">
        <f t="shared" si="48"/>
        <v>0.10750000000000005</v>
      </c>
      <c r="BF47" s="10">
        <f t="shared" si="54"/>
        <v>45035</v>
      </c>
      <c r="BG47" s="11" t="s">
        <v>93</v>
      </c>
      <c r="BH47" s="11" t="str">
        <f t="shared" ca="1" si="70"/>
        <v/>
      </c>
      <c r="BI47" s="11">
        <f t="shared" ca="1" si="71"/>
        <v>629.96501819464413</v>
      </c>
      <c r="BJ47" s="11">
        <f t="shared" ca="1" si="72"/>
        <v>553.01027875166039</v>
      </c>
      <c r="BK47" s="11" t="e">
        <f t="shared" ca="1" si="55"/>
        <v>#VALUE!</v>
      </c>
      <c r="BL47" s="11">
        <f t="shared" ca="1" si="56"/>
        <v>118.37893072193299</v>
      </c>
      <c r="BM47" s="11">
        <f t="shared" ca="1" si="57"/>
        <v>123.28955268263638</v>
      </c>
      <c r="BN47" s="28">
        <f t="shared" ca="1" si="73"/>
        <v>233.02120141342363</v>
      </c>
      <c r="BO47" s="28">
        <f t="shared" ca="1" si="74"/>
        <v>0.23139591482391028</v>
      </c>
      <c r="BP47" s="28">
        <f t="shared" ca="1" si="75"/>
        <v>0.28690622816929934</v>
      </c>
    </row>
    <row r="48" spans="1:68">
      <c r="C48" s="3">
        <f t="shared" si="2"/>
        <v>4</v>
      </c>
      <c r="D48" s="3">
        <f t="shared" si="10"/>
        <v>4</v>
      </c>
      <c r="E48" s="1">
        <f t="shared" si="11"/>
        <v>2023</v>
      </c>
      <c r="F48" s="3">
        <f t="shared" si="3"/>
        <v>61</v>
      </c>
      <c r="G48" s="3">
        <f t="shared" si="12"/>
        <v>44</v>
      </c>
      <c r="H48" s="4">
        <f t="shared" si="69"/>
        <v>179951.13437078192</v>
      </c>
      <c r="L48" s="25" t="str">
        <f t="shared" ca="1" si="5"/>
        <v/>
      </c>
      <c r="M48" s="4">
        <f t="shared" si="6"/>
        <v>179951.13437078192</v>
      </c>
      <c r="N48" s="5">
        <f t="shared" si="83"/>
        <v>2.18E-2</v>
      </c>
      <c r="O48" s="6">
        <f t="shared" si="7"/>
        <v>5.0499999999999996E-2</v>
      </c>
      <c r="P48" s="4">
        <f t="shared" si="0"/>
        <v>757.2943571437072</v>
      </c>
      <c r="Q48" s="7">
        <f t="shared" si="8"/>
        <v>1147.1423660440396</v>
      </c>
      <c r="R48" s="4">
        <f t="shared" si="13"/>
        <v>389.84800890033239</v>
      </c>
      <c r="S48" s="4">
        <f t="shared" si="1"/>
        <v>179561.28636188159</v>
      </c>
      <c r="T48" s="4">
        <f t="shared" si="14"/>
        <v>0</v>
      </c>
      <c r="U48" s="4">
        <f t="shared" si="9"/>
        <v>179561.28636188159</v>
      </c>
      <c r="W48" s="26">
        <f t="shared" si="15"/>
        <v>0</v>
      </c>
      <c r="X48" s="27">
        <f t="shared" si="16"/>
        <v>0</v>
      </c>
      <c r="Y48" s="26">
        <f t="shared" si="78"/>
        <v>0.45885694641761582</v>
      </c>
      <c r="AE48" s="91" t="str">
        <f t="shared" ca="1" si="50"/>
        <v/>
      </c>
      <c r="AF48" s="70">
        <f t="shared" si="41"/>
        <v>44812</v>
      </c>
      <c r="AG48" s="10">
        <f t="shared" si="84"/>
        <v>44812</v>
      </c>
      <c r="AH48" s="29">
        <v>8.3599999999999994E-3</v>
      </c>
      <c r="AI48" s="87" t="str">
        <f t="shared" ca="1" si="24"/>
        <v/>
      </c>
      <c r="AJ48" s="76">
        <f t="shared" ca="1" si="25"/>
        <v>83.6</v>
      </c>
      <c r="AK48" s="76">
        <f t="shared" ca="1" si="42"/>
        <v>1.3999999999999915</v>
      </c>
      <c r="AL48" s="76">
        <f t="shared" ca="1" si="52"/>
        <v>2.6000000000000005</v>
      </c>
      <c r="AM48" s="11">
        <f t="shared" si="26"/>
        <v>83.6</v>
      </c>
      <c r="AN48" s="11">
        <f t="shared" si="27"/>
        <v>552.39756080712084</v>
      </c>
      <c r="AO48" s="11">
        <f t="shared" si="28"/>
        <v>40.811473334409698</v>
      </c>
      <c r="AP48" s="12">
        <f t="shared" si="29"/>
        <v>7.9774400308700047E-2</v>
      </c>
      <c r="AQ48" s="11">
        <f t="shared" si="30"/>
        <v>471.92595250970544</v>
      </c>
      <c r="AR48" s="11">
        <f t="shared" si="31"/>
        <v>42.205226440681429</v>
      </c>
      <c r="AS48" s="12">
        <f t="shared" si="32"/>
        <v>9.8215477821524025E-2</v>
      </c>
      <c r="AT48" s="11">
        <f t="shared" si="33"/>
        <v>419.23471791093669</v>
      </c>
      <c r="AU48" s="11">
        <f t="shared" si="34"/>
        <v>43.585594198816636</v>
      </c>
      <c r="AV48" s="12">
        <f t="shared" si="35"/>
        <v>0.11602740815181189</v>
      </c>
      <c r="AW48" s="10">
        <f t="shared" si="36"/>
        <v>44812</v>
      </c>
      <c r="AX48" s="76">
        <f t="shared" si="79"/>
        <v>99676.027281387753</v>
      </c>
      <c r="AY48" s="75">
        <f t="shared" si="44"/>
        <v>15.453821671777503</v>
      </c>
      <c r="AZ48" s="75">
        <f t="shared" si="37"/>
        <v>8.0723927847611563</v>
      </c>
      <c r="BA48" s="75">
        <f t="shared" si="80"/>
        <v>7.3814288870163463</v>
      </c>
      <c r="BB48" s="75">
        <f t="shared" si="81"/>
        <v>99668.645852500733</v>
      </c>
      <c r="BC48" s="12"/>
      <c r="BD48" s="12"/>
      <c r="BE48" s="83">
        <f t="shared" si="48"/>
        <v>0.11000000000000006</v>
      </c>
      <c r="BF48" s="10">
        <f t="shared" si="54"/>
        <v>45042</v>
      </c>
      <c r="BG48" s="11" t="s">
        <v>94</v>
      </c>
      <c r="BH48" s="11" t="str">
        <f t="shared" ca="1" si="70"/>
        <v/>
      </c>
      <c r="BI48" s="11">
        <f t="shared" ca="1" si="71"/>
        <v>632.16500052014362</v>
      </c>
      <c r="BJ48" s="11">
        <f t="shared" ca="1" si="72"/>
        <v>555.32316206968551</v>
      </c>
      <c r="BK48" s="11" t="e">
        <f t="shared" ca="1" si="55"/>
        <v>#VALUE!</v>
      </c>
      <c r="BL48" s="11">
        <f t="shared" ca="1" si="56"/>
        <v>120.57891304743248</v>
      </c>
      <c r="BM48" s="11">
        <f t="shared" ca="1" si="57"/>
        <v>125.6024360006615</v>
      </c>
      <c r="BN48" s="28">
        <f t="shared" ca="1" si="73"/>
        <v>237.10247349823632</v>
      </c>
      <c r="BO48" s="28">
        <f t="shared" ca="1" si="74"/>
        <v>0.23569623177812543</v>
      </c>
      <c r="BP48" s="28">
        <f t="shared" ca="1" si="75"/>
        <v>0.29228852224476271</v>
      </c>
    </row>
    <row r="49" spans="1:68">
      <c r="A49" s="62" t="s">
        <v>23</v>
      </c>
      <c r="C49" s="3">
        <f t="shared" si="2"/>
        <v>4</v>
      </c>
      <c r="D49" s="3">
        <f t="shared" si="10"/>
        <v>5</v>
      </c>
      <c r="E49" s="1">
        <f t="shared" si="11"/>
        <v>2023</v>
      </c>
      <c r="F49" s="3">
        <f t="shared" si="3"/>
        <v>61</v>
      </c>
      <c r="G49" s="3">
        <f t="shared" si="12"/>
        <v>45</v>
      </c>
      <c r="H49" s="4">
        <f t="shared" si="69"/>
        <v>179561.28636188159</v>
      </c>
      <c r="L49" s="25" t="str">
        <f t="shared" ca="1" si="5"/>
        <v/>
      </c>
      <c r="M49" s="4">
        <f t="shared" si="6"/>
        <v>179561.28636188159</v>
      </c>
      <c r="N49" s="5">
        <f t="shared" si="83"/>
        <v>2.18E-2</v>
      </c>
      <c r="O49" s="6">
        <f t="shared" si="7"/>
        <v>5.0499999999999996E-2</v>
      </c>
      <c r="P49" s="4">
        <f t="shared" si="0"/>
        <v>755.65374677291823</v>
      </c>
      <c r="Q49" s="7">
        <f t="shared" si="8"/>
        <v>1147.1423660440394</v>
      </c>
      <c r="R49" s="4">
        <f t="shared" si="13"/>
        <v>391.48861927112114</v>
      </c>
      <c r="S49" s="4">
        <f t="shared" si="1"/>
        <v>179169.79774261048</v>
      </c>
      <c r="T49" s="4">
        <f t="shared" si="14"/>
        <v>0</v>
      </c>
      <c r="U49" s="4">
        <f t="shared" si="9"/>
        <v>179169.79774261048</v>
      </c>
      <c r="W49" s="26">
        <f t="shared" si="15"/>
        <v>0</v>
      </c>
      <c r="X49" s="27">
        <f t="shared" si="16"/>
        <v>0</v>
      </c>
      <c r="AE49" s="91" t="str">
        <f t="shared" ca="1" si="50"/>
        <v/>
      </c>
      <c r="AF49" s="70">
        <f t="shared" si="41"/>
        <v>44813</v>
      </c>
      <c r="AG49" s="10">
        <f t="shared" si="84"/>
        <v>44813</v>
      </c>
      <c r="AH49" s="29">
        <v>9.3399999999999993E-3</v>
      </c>
      <c r="AI49" s="87" t="str">
        <f t="shared" ca="1" si="24"/>
        <v/>
      </c>
      <c r="AJ49" s="76">
        <f t="shared" ca="1" si="25"/>
        <v>93.399999999999991</v>
      </c>
      <c r="AK49" s="76">
        <f t="shared" ca="1" si="42"/>
        <v>9.7999999999999972</v>
      </c>
      <c r="AL49" s="76">
        <f t="shared" ca="1" si="52"/>
        <v>3.1714285714285699</v>
      </c>
      <c r="AM49" s="11">
        <f t="shared" si="26"/>
        <v>93.399999999999991</v>
      </c>
      <c r="AN49" s="11">
        <f t="shared" si="27"/>
        <v>557.30470769772012</v>
      </c>
      <c r="AO49" s="11">
        <f t="shared" si="28"/>
        <v>45.718620225008976</v>
      </c>
      <c r="AP49" s="12">
        <f t="shared" si="29"/>
        <v>8.9366425992668697E-2</v>
      </c>
      <c r="AQ49" s="11">
        <f t="shared" si="30"/>
        <v>477.02473058303946</v>
      </c>
      <c r="AR49" s="11">
        <f t="shared" si="31"/>
        <v>47.304004514015446</v>
      </c>
      <c r="AS49" s="12">
        <f t="shared" si="32"/>
        <v>0.1100808074740552</v>
      </c>
      <c r="AT49" s="11">
        <f t="shared" si="33"/>
        <v>424.5219659184358</v>
      </c>
      <c r="AU49" s="11">
        <f t="shared" si="34"/>
        <v>48.872842206315738</v>
      </c>
      <c r="AV49" s="12">
        <f t="shared" si="35"/>
        <v>0.13010237245693565</v>
      </c>
      <c r="AW49" s="10">
        <f t="shared" si="36"/>
        <v>44813</v>
      </c>
      <c r="AX49" s="76">
        <f t="shared" si="79"/>
        <v>99668.645852500733</v>
      </c>
      <c r="AY49" s="75">
        <f t="shared" si="44"/>
        <v>15.619376377107946</v>
      </c>
      <c r="AZ49" s="75">
        <f t="shared" si="37"/>
        <v>8.3393984776311569</v>
      </c>
      <c r="BA49" s="75">
        <f t="shared" si="80"/>
        <v>7.2799778994767887</v>
      </c>
      <c r="BB49" s="75">
        <f t="shared" si="81"/>
        <v>99661.365874601252</v>
      </c>
      <c r="BC49" s="12"/>
      <c r="BD49" s="12"/>
      <c r="BE49" s="83">
        <f t="shared" si="48"/>
        <v>0.11250000000000006</v>
      </c>
      <c r="BF49" s="10">
        <f t="shared" si="54"/>
        <v>45049</v>
      </c>
      <c r="BG49" s="11" t="s">
        <v>95</v>
      </c>
      <c r="BH49" s="11" t="str">
        <f t="shared" ca="1" si="70"/>
        <v/>
      </c>
      <c r="BI49" s="11">
        <f t="shared" ca="1" si="71"/>
        <v>634.36923103673882</v>
      </c>
      <c r="BJ49" s="11">
        <f t="shared" ca="1" si="72"/>
        <v>557.6411253069582</v>
      </c>
      <c r="BK49" s="11" t="e">
        <f t="shared" ca="1" si="55"/>
        <v>#VALUE!</v>
      </c>
      <c r="BL49" s="11">
        <f t="shared" ca="1" si="56"/>
        <v>122.78314356402768</v>
      </c>
      <c r="BM49" s="11">
        <f t="shared" ca="1" si="57"/>
        <v>127.92039923793419</v>
      </c>
      <c r="BN49" s="28">
        <f t="shared" ca="1" si="73"/>
        <v>241.18374558304012</v>
      </c>
      <c r="BO49" s="28">
        <f t="shared" ca="1" si="74"/>
        <v>0.24000485269368693</v>
      </c>
      <c r="BP49" s="28">
        <f t="shared" ca="1" si="75"/>
        <v>0.29768263776364129</v>
      </c>
    </row>
    <row r="50" spans="1:68">
      <c r="C50" s="3">
        <f t="shared" si="2"/>
        <v>4</v>
      </c>
      <c r="D50" s="3">
        <f t="shared" si="10"/>
        <v>6</v>
      </c>
      <c r="E50" s="1">
        <f t="shared" si="11"/>
        <v>2023</v>
      </c>
      <c r="F50" s="3">
        <f t="shared" si="3"/>
        <v>61</v>
      </c>
      <c r="G50" s="3">
        <f t="shared" si="12"/>
        <v>46</v>
      </c>
      <c r="H50" s="4">
        <f t="shared" si="69"/>
        <v>179169.79774261048</v>
      </c>
      <c r="L50" s="25" t="str">
        <f t="shared" ca="1" si="5"/>
        <v/>
      </c>
      <c r="M50" s="4">
        <f t="shared" si="6"/>
        <v>179169.79774261048</v>
      </c>
      <c r="N50" s="5">
        <f t="shared" si="83"/>
        <v>2.18E-2</v>
      </c>
      <c r="O50" s="6">
        <f t="shared" si="7"/>
        <v>5.0499999999999996E-2</v>
      </c>
      <c r="P50" s="4">
        <f t="shared" si="0"/>
        <v>754.00623216681913</v>
      </c>
      <c r="Q50" s="7">
        <f t="shared" si="8"/>
        <v>1147.1423660440398</v>
      </c>
      <c r="R50" s="4">
        <f t="shared" si="13"/>
        <v>393.13613387722069</v>
      </c>
      <c r="S50" s="4">
        <f t="shared" si="1"/>
        <v>178776.66160873327</v>
      </c>
      <c r="T50" s="4">
        <f t="shared" si="14"/>
        <v>0</v>
      </c>
      <c r="U50" s="4">
        <f t="shared" si="9"/>
        <v>178776.66160873327</v>
      </c>
      <c r="X50" s="27">
        <f>Q50-Q49</f>
        <v>0</v>
      </c>
      <c r="AE50" s="91" t="str">
        <f t="shared" ca="1" si="50"/>
        <v/>
      </c>
      <c r="AF50" s="70">
        <f t="shared" si="41"/>
        <v>44816</v>
      </c>
      <c r="AG50" s="10">
        <f>AG49+3</f>
        <v>44816</v>
      </c>
      <c r="AH50" s="29">
        <v>9.8799999999999999E-3</v>
      </c>
      <c r="AI50" s="87" t="str">
        <f t="shared" ca="1" si="24"/>
        <v/>
      </c>
      <c r="AJ50" s="76">
        <f t="shared" ca="1" si="25"/>
        <v>98.8</v>
      </c>
      <c r="AK50" s="76">
        <f t="shared" ca="1" si="42"/>
        <v>5.4000000000000057</v>
      </c>
      <c r="AL50" s="76">
        <f t="shared" ca="1" si="52"/>
        <v>3.2142857142857144</v>
      </c>
      <c r="AM50" s="11">
        <f t="shared" si="26"/>
        <v>98.8</v>
      </c>
      <c r="AN50" s="11">
        <f t="shared" si="27"/>
        <v>560.01959283042572</v>
      </c>
      <c r="AO50" s="11">
        <f t="shared" si="28"/>
        <v>48.43350535771458</v>
      </c>
      <c r="AP50" s="12">
        <f t="shared" si="29"/>
        <v>9.4673226156288121E-2</v>
      </c>
      <c r="AQ50" s="11">
        <f t="shared" si="30"/>
        <v>479.84766693047823</v>
      </c>
      <c r="AR50" s="11">
        <f t="shared" si="31"/>
        <v>50.126940861454216</v>
      </c>
      <c r="AS50" s="12">
        <f t="shared" si="32"/>
        <v>0.11665004227280991</v>
      </c>
      <c r="AT50" s="11">
        <f t="shared" si="33"/>
        <v>427.45103691242701</v>
      </c>
      <c r="AU50" s="11">
        <f t="shared" si="34"/>
        <v>51.801913200306956</v>
      </c>
      <c r="AV50" s="12">
        <f t="shared" si="35"/>
        <v>0.1378997312396382</v>
      </c>
      <c r="AW50" s="10">
        <f t="shared" si="36"/>
        <v>44816</v>
      </c>
      <c r="AX50" s="76">
        <f t="shared" si="79"/>
        <v>99661.365874601252</v>
      </c>
      <c r="AY50" s="75">
        <f t="shared" si="44"/>
        <v>15.71280226268043</v>
      </c>
      <c r="AZ50" s="75">
        <f t="shared" si="37"/>
        <v>8.4862335654317995</v>
      </c>
      <c r="BA50" s="75">
        <f t="shared" si="80"/>
        <v>7.2265686972486307</v>
      </c>
      <c r="BB50" s="75">
        <f t="shared" si="81"/>
        <v>99654.139305903998</v>
      </c>
      <c r="BC50" s="12"/>
      <c r="BD50" s="12"/>
      <c r="BE50" s="83">
        <f>BE49+0.0025</f>
        <v>0.11500000000000006</v>
      </c>
      <c r="BF50" s="10">
        <f t="shared" si="54"/>
        <v>45056</v>
      </c>
      <c r="BG50" s="11" t="s">
        <v>96</v>
      </c>
      <c r="BH50" s="11" t="str">
        <f t="shared" ca="1" si="70"/>
        <v/>
      </c>
      <c r="BI50" s="11">
        <f t="shared" ca="1" si="71"/>
        <v>636.5777034051365</v>
      </c>
      <c r="BJ50" s="11">
        <f t="shared" ca="1" si="72"/>
        <v>559.96415686465627</v>
      </c>
      <c r="BK50" s="11" t="e">
        <f t="shared" ca="1" si="55"/>
        <v>#VALUE!</v>
      </c>
      <c r="BL50" s="11">
        <f t="shared" ca="1" si="56"/>
        <v>124.99161593242536</v>
      </c>
      <c r="BM50" s="11">
        <f t="shared" ca="1" si="57"/>
        <v>130.24343079563226</v>
      </c>
      <c r="BN50" s="28">
        <f t="shared" ca="1" si="73"/>
        <v>245.26501766784835</v>
      </c>
      <c r="BO50" s="28">
        <f t="shared" ca="1" si="74"/>
        <v>0.24432176517914519</v>
      </c>
      <c r="BP50" s="28">
        <f t="shared" ca="1" si="75"/>
        <v>0.30308854773439964</v>
      </c>
    </row>
    <row r="51" spans="1:68">
      <c r="A51" s="63" t="s">
        <v>24</v>
      </c>
      <c r="C51" s="3">
        <f t="shared" si="2"/>
        <v>4</v>
      </c>
      <c r="D51" s="3">
        <f t="shared" si="10"/>
        <v>7</v>
      </c>
      <c r="E51" s="1">
        <f t="shared" si="11"/>
        <v>2023</v>
      </c>
      <c r="F51" s="3">
        <f t="shared" si="3"/>
        <v>61</v>
      </c>
      <c r="G51" s="3">
        <f t="shared" si="12"/>
        <v>47</v>
      </c>
      <c r="H51" s="4">
        <f t="shared" si="69"/>
        <v>178776.66160873327</v>
      </c>
      <c r="L51" s="25" t="str">
        <f t="shared" ca="1" si="5"/>
        <v/>
      </c>
      <c r="M51" s="4">
        <f t="shared" si="6"/>
        <v>178776.66160873327</v>
      </c>
      <c r="N51" s="5">
        <f t="shared" si="83"/>
        <v>2.18E-2</v>
      </c>
      <c r="O51" s="6">
        <f t="shared" si="7"/>
        <v>5.0499999999999996E-2</v>
      </c>
      <c r="P51" s="4">
        <f t="shared" si="0"/>
        <v>752.35178427008577</v>
      </c>
      <c r="Q51" s="7">
        <f t="shared" si="8"/>
        <v>1147.1423660440394</v>
      </c>
      <c r="R51" s="4">
        <f t="shared" si="13"/>
        <v>394.79058177395359</v>
      </c>
      <c r="S51" s="4">
        <f t="shared" si="1"/>
        <v>178381.8710269593</v>
      </c>
      <c r="T51" s="4">
        <f t="shared" si="14"/>
        <v>0</v>
      </c>
      <c r="U51" s="4">
        <f t="shared" si="9"/>
        <v>178381.8710269593</v>
      </c>
      <c r="X51" s="27">
        <f t="shared" si="16"/>
        <v>0</v>
      </c>
      <c r="AE51" s="91" t="str">
        <f t="shared" ca="1" si="50"/>
        <v/>
      </c>
      <c r="AF51" s="70">
        <f t="shared" si="41"/>
        <v>44817</v>
      </c>
      <c r="AG51" s="10">
        <f>AG50+1</f>
        <v>44817</v>
      </c>
      <c r="AH51" s="29">
        <v>0.01</v>
      </c>
      <c r="AI51" s="87" t="str">
        <f t="shared" ca="1" si="24"/>
        <v/>
      </c>
      <c r="AJ51" s="76">
        <f t="shared" ca="1" si="25"/>
        <v>100</v>
      </c>
      <c r="AK51" s="76">
        <f t="shared" ca="1" si="42"/>
        <v>1.2000000000000028</v>
      </c>
      <c r="AL51" s="76">
        <f t="shared" ca="1" si="52"/>
        <v>3.1000000000000005</v>
      </c>
      <c r="AM51" s="11">
        <f t="shared" si="26"/>
        <v>100</v>
      </c>
      <c r="AN51" s="11">
        <f t="shared" si="27"/>
        <v>560.62395546277219</v>
      </c>
      <c r="AO51" s="11">
        <f t="shared" si="28"/>
        <v>49.037867990061045</v>
      </c>
      <c r="AP51" s="12">
        <f t="shared" si="29"/>
        <v>9.5854576953633058E-2</v>
      </c>
      <c r="AQ51" s="11">
        <f t="shared" si="30"/>
        <v>480.47627688850139</v>
      </c>
      <c r="AR51" s="11">
        <f t="shared" si="31"/>
        <v>50.755550819477378</v>
      </c>
      <c r="AS51" s="12">
        <f t="shared" si="32"/>
        <v>0.11811287596894908</v>
      </c>
      <c r="AT51" s="11">
        <f t="shared" si="33"/>
        <v>428.10345090387887</v>
      </c>
      <c r="AU51" s="11">
        <f t="shared" si="34"/>
        <v>52.454327191758807</v>
      </c>
      <c r="AV51" s="12">
        <f t="shared" si="35"/>
        <v>0.13963649555045243</v>
      </c>
      <c r="AW51" s="10">
        <f t="shared" si="36"/>
        <v>44817</v>
      </c>
      <c r="AX51" s="76">
        <f t="shared" si="79"/>
        <v>99654.139305903998</v>
      </c>
      <c r="AY51" s="75">
        <f t="shared" si="44"/>
        <v>15.729934528122527</v>
      </c>
      <c r="AZ51" s="75">
        <f t="shared" si="37"/>
        <v>8.5183812228608353</v>
      </c>
      <c r="BA51" s="75">
        <f t="shared" si="80"/>
        <v>7.2115533052616918</v>
      </c>
      <c r="BB51" s="75">
        <f t="shared" si="81"/>
        <v>99646.927752598742</v>
      </c>
      <c r="BC51" s="12"/>
      <c r="BD51" s="12"/>
      <c r="BE51" s="83">
        <f t="shared" si="48"/>
        <v>0.11750000000000006</v>
      </c>
      <c r="BF51" s="10">
        <f t="shared" si="54"/>
        <v>45063</v>
      </c>
      <c r="BG51" s="11" t="s">
        <v>97</v>
      </c>
      <c r="BH51" s="11" t="str">
        <f t="shared" ca="1" si="70"/>
        <v/>
      </c>
      <c r="BI51" s="11">
        <f t="shared" ca="1" si="71"/>
        <v>638.79041124217713</v>
      </c>
      <c r="BJ51" s="11">
        <f t="shared" ca="1" si="72"/>
        <v>562.29224507353786</v>
      </c>
      <c r="BK51" s="11" t="e">
        <f t="shared" ca="1" si="55"/>
        <v>#VALUE!</v>
      </c>
      <c r="BL51" s="11">
        <f t="shared" ca="1" si="56"/>
        <v>127.20432376946599</v>
      </c>
      <c r="BM51" s="11">
        <f t="shared" ca="1" si="57"/>
        <v>132.57151900451385</v>
      </c>
      <c r="BN51" s="28">
        <f t="shared" ca="1" si="73"/>
        <v>249.34628975265215</v>
      </c>
      <c r="BO51" s="28">
        <f t="shared" ca="1" si="74"/>
        <v>0.24864695675730486</v>
      </c>
      <c r="BP51" s="28">
        <f t="shared" ca="1" si="75"/>
        <v>0.30850622500162933</v>
      </c>
    </row>
    <row r="52" spans="1:68">
      <c r="C52" s="3">
        <f t="shared" si="2"/>
        <v>4</v>
      </c>
      <c r="D52" s="3">
        <f t="shared" si="10"/>
        <v>8</v>
      </c>
      <c r="E52" s="1">
        <f t="shared" si="11"/>
        <v>2023</v>
      </c>
      <c r="F52" s="3">
        <f t="shared" si="3"/>
        <v>61</v>
      </c>
      <c r="G52" s="3">
        <f t="shared" si="12"/>
        <v>48</v>
      </c>
      <c r="H52" s="4">
        <f t="shared" si="69"/>
        <v>178381.8710269593</v>
      </c>
      <c r="L52" s="25" t="str">
        <f t="shared" ca="1" si="5"/>
        <v/>
      </c>
      <c r="M52" s="4">
        <f t="shared" si="6"/>
        <v>178381.8710269593</v>
      </c>
      <c r="N52" s="5">
        <f t="shared" si="83"/>
        <v>2.18E-2</v>
      </c>
      <c r="O52" s="6">
        <f t="shared" si="7"/>
        <v>5.0499999999999996E-2</v>
      </c>
      <c r="P52" s="4">
        <f t="shared" si="0"/>
        <v>750.6903739051204</v>
      </c>
      <c r="Q52" s="7">
        <f t="shared" si="8"/>
        <v>1147.1423660440396</v>
      </c>
      <c r="R52" s="4">
        <f t="shared" si="13"/>
        <v>396.45199213891919</v>
      </c>
      <c r="S52" s="4">
        <f t="shared" si="1"/>
        <v>177985.41903482037</v>
      </c>
      <c r="T52" s="4">
        <f t="shared" si="14"/>
        <v>0</v>
      </c>
      <c r="U52" s="4">
        <f t="shared" si="9"/>
        <v>177985.41903482037</v>
      </c>
      <c r="X52" s="27">
        <f t="shared" si="16"/>
        <v>0</v>
      </c>
      <c r="AA52" s="1" t="s">
        <v>57</v>
      </c>
      <c r="AB52" s="64">
        <f ca="1">IF(WEEKDAY(TODAY())=7,TODAY()-1,IF(WEEKDAY(TODAY())=1,TODAY()-2,TODAY()))</f>
        <v>44825</v>
      </c>
      <c r="AE52" s="91" t="str">
        <f t="shared" ca="1" si="50"/>
        <v/>
      </c>
      <c r="AF52" s="70">
        <f t="shared" si="41"/>
        <v>44818</v>
      </c>
      <c r="AG52" s="10">
        <f t="shared" ref="AG52:AG59" si="85">AG51+1</f>
        <v>44818</v>
      </c>
      <c r="AH52" s="29">
        <v>1.013E-2</v>
      </c>
      <c r="AI52" s="87" t="str">
        <f t="shared" ca="1" si="24"/>
        <v/>
      </c>
      <c r="AJ52" s="76">
        <f t="shared" ca="1" si="25"/>
        <v>101.3</v>
      </c>
      <c r="AK52" s="76">
        <f t="shared" ca="1" si="42"/>
        <v>1.2999999999999972</v>
      </c>
      <c r="AL52" s="76">
        <f t="shared" ca="1" si="52"/>
        <v>2.8142857142857127</v>
      </c>
      <c r="AM52" s="11">
        <f t="shared" si="26"/>
        <v>101.3</v>
      </c>
      <c r="AN52" s="11">
        <f t="shared" si="27"/>
        <v>561.2791142049781</v>
      </c>
      <c r="AO52" s="11">
        <f t="shared" si="28"/>
        <v>49.693026732266958</v>
      </c>
      <c r="AP52" s="12">
        <f t="shared" si="29"/>
        <v>9.7135219172506657E-2</v>
      </c>
      <c r="AQ52" s="11">
        <f t="shared" si="30"/>
        <v>481.15780013144268</v>
      </c>
      <c r="AR52" s="11">
        <f t="shared" si="31"/>
        <v>51.437074062418674</v>
      </c>
      <c r="AS52" s="12">
        <f t="shared" si="32"/>
        <v>0.11969884378850412</v>
      </c>
      <c r="AT52" s="11">
        <f t="shared" si="33"/>
        <v>428.81085117239263</v>
      </c>
      <c r="AU52" s="11">
        <f t="shared" si="34"/>
        <v>53.161727460272573</v>
      </c>
      <c r="AV52" s="12">
        <f t="shared" si="35"/>
        <v>0.1415196365558761</v>
      </c>
      <c r="AW52" s="10">
        <f t="shared" si="36"/>
        <v>44818</v>
      </c>
      <c r="AX52" s="76">
        <f t="shared" si="79"/>
        <v>99646.927752598742</v>
      </c>
      <c r="AY52" s="75">
        <f t="shared" si="44"/>
        <v>15.751074008124688</v>
      </c>
      <c r="AZ52" s="75">
        <f t="shared" si="37"/>
        <v>8.5532554698326546</v>
      </c>
      <c r="BA52" s="75">
        <f t="shared" si="80"/>
        <v>7.197818538292033</v>
      </c>
      <c r="BB52" s="75">
        <f t="shared" si="81"/>
        <v>99639.729934060451</v>
      </c>
      <c r="BC52" s="12"/>
      <c r="BD52" s="12"/>
      <c r="BE52" s="83">
        <f>BE51+0.0025</f>
        <v>0.12000000000000006</v>
      </c>
      <c r="BF52" s="10">
        <f t="shared" si="54"/>
        <v>45070</v>
      </c>
      <c r="BG52" s="11" t="s">
        <v>98</v>
      </c>
      <c r="BH52" s="11" t="str">
        <f t="shared" ca="1" si="70"/>
        <v/>
      </c>
      <c r="BI52" s="11">
        <f t="shared" ca="1" si="71"/>
        <v>641.0073481211773</v>
      </c>
      <c r="BJ52" s="11">
        <f t="shared" ca="1" si="72"/>
        <v>564.62537819474039</v>
      </c>
      <c r="BK52" s="11" t="e">
        <f t="shared" ca="1" si="55"/>
        <v>#VALUE!</v>
      </c>
      <c r="BL52" s="11">
        <f t="shared" ca="1" si="56"/>
        <v>129.42126064846616</v>
      </c>
      <c r="BM52" s="11">
        <f t="shared" ca="1" si="57"/>
        <v>134.90465212571638</v>
      </c>
      <c r="BN52" s="28">
        <f t="shared" ca="1" si="73"/>
        <v>253.42756183745152</v>
      </c>
      <c r="BO52" s="28">
        <f t="shared" ca="1" si="74"/>
        <v>0.25298041486589429</v>
      </c>
      <c r="BP52" s="28">
        <f t="shared" ca="1" si="75"/>
        <v>0.31393564224790799</v>
      </c>
    </row>
    <row r="53" spans="1:68">
      <c r="A53" s="63" t="s">
        <v>25</v>
      </c>
      <c r="C53" s="3">
        <f t="shared" si="2"/>
        <v>5</v>
      </c>
      <c r="D53" s="3">
        <f t="shared" si="10"/>
        <v>9</v>
      </c>
      <c r="E53" s="1">
        <f t="shared" si="11"/>
        <v>2023</v>
      </c>
      <c r="F53" s="3">
        <f t="shared" si="3"/>
        <v>61</v>
      </c>
      <c r="G53" s="3">
        <f t="shared" si="12"/>
        <v>49</v>
      </c>
      <c r="H53" s="4">
        <f t="shared" si="69"/>
        <v>177985.41903482037</v>
      </c>
      <c r="L53" s="25" t="str">
        <f t="shared" ca="1" si="5"/>
        <v/>
      </c>
      <c r="M53" s="4">
        <f t="shared" si="6"/>
        <v>177985.41903482037</v>
      </c>
      <c r="N53" s="5">
        <f t="shared" si="83"/>
        <v>2.18E-2</v>
      </c>
      <c r="O53" s="6">
        <f t="shared" si="7"/>
        <v>5.0499999999999996E-2</v>
      </c>
      <c r="P53" s="4">
        <f t="shared" si="0"/>
        <v>749.02197177153573</v>
      </c>
      <c r="Q53" s="7">
        <f t="shared" si="8"/>
        <v>1147.1423660440394</v>
      </c>
      <c r="R53" s="4">
        <f t="shared" si="13"/>
        <v>398.12039427250363</v>
      </c>
      <c r="S53" s="4">
        <f t="shared" si="1"/>
        <v>177587.29864054787</v>
      </c>
      <c r="T53" s="4">
        <f t="shared" si="14"/>
        <v>0</v>
      </c>
      <c r="U53" s="4">
        <f t="shared" si="9"/>
        <v>177587.29864054787</v>
      </c>
      <c r="X53" s="27">
        <f t="shared" si="16"/>
        <v>0</v>
      </c>
      <c r="AA53" s="1" t="s">
        <v>58</v>
      </c>
      <c r="AB53" s="64">
        <f>Loan!F14</f>
        <v>45107</v>
      </c>
      <c r="AC53" s="64"/>
      <c r="AE53" s="91" t="str">
        <f t="shared" ca="1" si="50"/>
        <v/>
      </c>
      <c r="AF53" s="70">
        <f t="shared" si="41"/>
        <v>44819</v>
      </c>
      <c r="AG53" s="10">
        <f t="shared" si="85"/>
        <v>44819</v>
      </c>
      <c r="AH53" s="71">
        <v>1.03E-2</v>
      </c>
      <c r="AI53" s="87" t="str">
        <f t="shared" ca="1" si="24"/>
        <v/>
      </c>
      <c r="AJ53" s="76">
        <f t="shared" ca="1" si="25"/>
        <v>103</v>
      </c>
      <c r="AK53" s="76">
        <f t="shared" ca="1" si="42"/>
        <v>1.7000000000000028</v>
      </c>
      <c r="AL53" s="76">
        <f t="shared" ca="1" si="52"/>
        <v>2.9714285714285711</v>
      </c>
      <c r="AM53" s="11">
        <f t="shared" si="26"/>
        <v>103</v>
      </c>
      <c r="AN53" s="11">
        <f t="shared" si="27"/>
        <v>562.1365387875303</v>
      </c>
      <c r="AO53" s="11">
        <f t="shared" ref="AO53:AO116" si="86">AN53-AN$7</f>
        <v>50.550451314819156</v>
      </c>
      <c r="AP53" s="12">
        <f t="shared" ref="AP53:AP116" si="87">AO53/AN$7</f>
        <v>9.8811231487047818E-2</v>
      </c>
      <c r="AQ53" s="11">
        <f t="shared" si="30"/>
        <v>482.04985268596209</v>
      </c>
      <c r="AR53" s="11">
        <f t="shared" ref="AR53:AR116" si="88">AQ53-AQ$7</f>
        <v>52.329126616938083</v>
      </c>
      <c r="AS53" s="12">
        <f t="shared" ref="AS53:AS116" si="89">AR53/AQ$7</f>
        <v>0.1217747328494756</v>
      </c>
      <c r="AT53" s="11">
        <f t="shared" si="33"/>
        <v>429.73688277791166</v>
      </c>
      <c r="AU53" s="11">
        <f t="shared" ref="AU53:AU116" si="90">AT53-AT$7</f>
        <v>54.087759065791602</v>
      </c>
      <c r="AV53" s="12">
        <f t="shared" ref="AV53:AV116" si="91">AU53/AT$7</f>
        <v>0.14398478700363462</v>
      </c>
      <c r="AW53" s="10">
        <f t="shared" si="36"/>
        <v>44819</v>
      </c>
      <c r="AX53" s="76">
        <f t="shared" si="79"/>
        <v>99639.729934060451</v>
      </c>
      <c r="AY53" s="75">
        <f t="shared" si="44"/>
        <v>15.779093928112697</v>
      </c>
      <c r="AZ53" s="75">
        <f t="shared" si="37"/>
        <v>8.599045186090148</v>
      </c>
      <c r="BA53" s="75">
        <f t="shared" si="80"/>
        <v>7.1800487420225494</v>
      </c>
      <c r="BB53" s="75">
        <f t="shared" si="81"/>
        <v>99632.549885318425</v>
      </c>
      <c r="BC53" s="12"/>
      <c r="BD53" s="12"/>
      <c r="BE53" s="83">
        <f t="shared" si="48"/>
        <v>0.12250000000000007</v>
      </c>
      <c r="BF53" s="10">
        <f t="shared" si="54"/>
        <v>45077</v>
      </c>
      <c r="BG53" s="11" t="s">
        <v>99</v>
      </c>
      <c r="BH53" s="11" t="str">
        <f t="shared" ca="1" si="70"/>
        <v/>
      </c>
      <c r="BI53" s="11">
        <f t="shared" ca="1" si="71"/>
        <v>643.22850757225535</v>
      </c>
      <c r="BJ53" s="11">
        <f t="shared" ca="1" si="72"/>
        <v>566.9635444205602</v>
      </c>
      <c r="BK53" s="11" t="e">
        <f t="shared" ca="1" si="55"/>
        <v>#VALUE!</v>
      </c>
      <c r="BL53" s="11">
        <f t="shared" ca="1" si="56"/>
        <v>131.64242009954421</v>
      </c>
      <c r="BM53" s="11">
        <f t="shared" ca="1" si="57"/>
        <v>137.24281835153619</v>
      </c>
      <c r="BN53" s="28">
        <f t="shared" ca="1" si="73"/>
        <v>257.50883392225086</v>
      </c>
      <c r="BO53" s="28">
        <f t="shared" ca="1" si="74"/>
        <v>0.25732212685820199</v>
      </c>
      <c r="BP53" s="28">
        <f t="shared" ca="1" si="75"/>
        <v>0.31937677199561354</v>
      </c>
    </row>
    <row r="54" spans="1:68">
      <c r="C54" s="3">
        <f t="shared" si="2"/>
        <v>5</v>
      </c>
      <c r="D54" s="3">
        <f t="shared" si="10"/>
        <v>10</v>
      </c>
      <c r="E54" s="1">
        <f t="shared" si="11"/>
        <v>2023</v>
      </c>
      <c r="F54" s="3">
        <f t="shared" si="3"/>
        <v>61</v>
      </c>
      <c r="G54" s="3">
        <f t="shared" si="12"/>
        <v>50</v>
      </c>
      <c r="H54" s="4">
        <f t="shared" si="69"/>
        <v>177587.29864054787</v>
      </c>
      <c r="L54" s="25" t="str">
        <f t="shared" ca="1" si="5"/>
        <v/>
      </c>
      <c r="M54" s="4">
        <f t="shared" si="6"/>
        <v>177587.29864054787</v>
      </c>
      <c r="N54" s="5">
        <f t="shared" si="83"/>
        <v>2.18E-2</v>
      </c>
      <c r="O54" s="6">
        <f t="shared" si="7"/>
        <v>5.0499999999999996E-2</v>
      </c>
      <c r="P54" s="4">
        <f t="shared" si="0"/>
        <v>747.34654844563886</v>
      </c>
      <c r="Q54" s="7">
        <f t="shared" si="8"/>
        <v>1147.1423660440398</v>
      </c>
      <c r="R54" s="4">
        <f t="shared" si="13"/>
        <v>399.79581759840096</v>
      </c>
      <c r="S54" s="4">
        <f t="shared" si="1"/>
        <v>177187.50282294946</v>
      </c>
      <c r="T54" s="4">
        <f t="shared" si="14"/>
        <v>0</v>
      </c>
      <c r="U54" s="4">
        <f t="shared" si="9"/>
        <v>177187.50282294946</v>
      </c>
      <c r="X54" s="27">
        <f t="shared" si="16"/>
        <v>0</v>
      </c>
      <c r="AA54" s="65" t="s">
        <v>59</v>
      </c>
      <c r="AB54" s="66">
        <f ca="1">VLOOKUP(TODAY(),Eur3M,2)</f>
        <v>1.1058303886925636E-2</v>
      </c>
      <c r="AE54" s="91" t="str">
        <f t="shared" ca="1" si="50"/>
        <v/>
      </c>
      <c r="AF54" s="70">
        <f t="shared" si="41"/>
        <v>44820</v>
      </c>
      <c r="AG54" s="10">
        <f t="shared" si="85"/>
        <v>44820</v>
      </c>
      <c r="AH54" s="29">
        <v>1.0630000000000001E-2</v>
      </c>
      <c r="AI54" s="87" t="str">
        <f t="shared" ca="1" si="24"/>
        <v/>
      </c>
      <c r="AJ54" s="76">
        <f t="shared" ca="1" si="25"/>
        <v>106.30000000000001</v>
      </c>
      <c r="AK54" s="76">
        <f t="shared" ca="1" si="42"/>
        <v>3.3000000000000114</v>
      </c>
      <c r="AL54" s="76">
        <f t="shared" ca="1" si="52"/>
        <v>3.2428571428571451</v>
      </c>
      <c r="AM54" s="11">
        <f t="shared" si="26"/>
        <v>106.30000000000001</v>
      </c>
      <c r="AN54" s="11">
        <f t="shared" si="27"/>
        <v>563.80314526884138</v>
      </c>
      <c r="AO54" s="11">
        <f t="shared" si="86"/>
        <v>52.217057796130234</v>
      </c>
      <c r="AP54" s="12">
        <f t="shared" si="87"/>
        <v>0.1020689558898835</v>
      </c>
      <c r="AQ54" s="11">
        <f t="shared" si="30"/>
        <v>483.78416667904327</v>
      </c>
      <c r="AR54" s="11">
        <f t="shared" si="88"/>
        <v>54.063440610019256</v>
      </c>
      <c r="AS54" s="12">
        <f t="shared" si="89"/>
        <v>0.12581064242485548</v>
      </c>
      <c r="AT54" s="11">
        <f t="shared" si="33"/>
        <v>431.5376071231392</v>
      </c>
      <c r="AU54" s="11">
        <f t="shared" si="90"/>
        <v>55.888483411019138</v>
      </c>
      <c r="AV54" s="12">
        <f t="shared" si="91"/>
        <v>0.14877842082722242</v>
      </c>
      <c r="AW54" s="10">
        <f t="shared" si="36"/>
        <v>44820</v>
      </c>
      <c r="AX54" s="76">
        <f t="shared" si="79"/>
        <v>99632.549885318425</v>
      </c>
      <c r="AY54" s="75">
        <f t="shared" si="44"/>
        <v>15.834641174846249</v>
      </c>
      <c r="AZ54" s="75">
        <f t="shared" si="37"/>
        <v>8.6885042817799611</v>
      </c>
      <c r="BA54" s="75">
        <f t="shared" si="80"/>
        <v>7.1461368930662879</v>
      </c>
      <c r="BB54" s="75">
        <f t="shared" si="81"/>
        <v>99625.403748425364</v>
      </c>
      <c r="BC54" s="12"/>
      <c r="BD54" s="12"/>
      <c r="BE54" s="83">
        <f t="shared" si="48"/>
        <v>0.12500000000000006</v>
      </c>
      <c r="BF54" s="10">
        <f t="shared" si="54"/>
        <v>45084</v>
      </c>
      <c r="BG54" s="11" t="s">
        <v>100</v>
      </c>
      <c r="BH54" s="11" t="str">
        <f t="shared" ca="1" si="70"/>
        <v/>
      </c>
      <c r="BI54" s="11">
        <f t="shared" ca="1" si="71"/>
        <v>645.45388308249153</v>
      </c>
      <c r="BJ54" s="11">
        <f t="shared" ca="1" si="72"/>
        <v>569.30673187510956</v>
      </c>
      <c r="BK54" s="11" t="e">
        <f t="shared" ca="1" si="55"/>
        <v>#VALUE!</v>
      </c>
      <c r="BL54" s="11">
        <f t="shared" ca="1" si="56"/>
        <v>133.86779560978039</v>
      </c>
      <c r="BM54" s="11">
        <f t="shared" ca="1" si="57"/>
        <v>139.58600580608555</v>
      </c>
      <c r="BN54" s="28">
        <f t="shared" ca="1" si="73"/>
        <v>261.59010600705915</v>
      </c>
      <c r="BO54" s="28">
        <f t="shared" ca="1" si="74"/>
        <v>0.26167208000338971</v>
      </c>
      <c r="BP54" s="28">
        <f t="shared" ca="1" si="75"/>
        <v>0.32482958660845351</v>
      </c>
    </row>
    <row r="55" spans="1:68">
      <c r="A55" s="63" t="s">
        <v>26</v>
      </c>
      <c r="C55" s="3">
        <f t="shared" si="2"/>
        <v>5</v>
      </c>
      <c r="D55" s="3">
        <f t="shared" si="10"/>
        <v>11</v>
      </c>
      <c r="E55" s="1">
        <f t="shared" si="11"/>
        <v>2023</v>
      </c>
      <c r="F55" s="3">
        <f t="shared" si="3"/>
        <v>61</v>
      </c>
      <c r="G55" s="3">
        <f t="shared" si="12"/>
        <v>51</v>
      </c>
      <c r="H55" s="4">
        <f t="shared" si="69"/>
        <v>177187.50282294946</v>
      </c>
      <c r="L55" s="25" t="str">
        <f t="shared" ca="1" si="5"/>
        <v/>
      </c>
      <c r="M55" s="4">
        <f t="shared" si="6"/>
        <v>177187.50282294946</v>
      </c>
      <c r="N55" s="5">
        <f t="shared" si="83"/>
        <v>2.18E-2</v>
      </c>
      <c r="O55" s="6">
        <f t="shared" si="7"/>
        <v>5.0499999999999996E-2</v>
      </c>
      <c r="P55" s="4">
        <f t="shared" si="0"/>
        <v>745.66407437991222</v>
      </c>
      <c r="Q55" s="7">
        <f t="shared" si="8"/>
        <v>1147.1423660440396</v>
      </c>
      <c r="R55" s="4">
        <f t="shared" si="13"/>
        <v>401.47829166412737</v>
      </c>
      <c r="S55" s="4">
        <f t="shared" si="1"/>
        <v>176786.02453128534</v>
      </c>
      <c r="T55" s="4">
        <f t="shared" si="14"/>
        <v>0</v>
      </c>
      <c r="U55" s="4">
        <f t="shared" si="9"/>
        <v>176786.02453128534</v>
      </c>
      <c r="X55" s="27">
        <f t="shared" si="16"/>
        <v>0</v>
      </c>
      <c r="AA55" s="64" t="s">
        <v>60</v>
      </c>
      <c r="AB55" s="67">
        <f>AB14</f>
        <v>2.7499999999999997E-2</v>
      </c>
      <c r="AE55" s="91" t="str">
        <f t="shared" ca="1" si="50"/>
        <v/>
      </c>
      <c r="AF55" s="70">
        <f t="shared" si="41"/>
        <v>44823</v>
      </c>
      <c r="AG55" s="10">
        <f>AG54+3</f>
        <v>44823</v>
      </c>
      <c r="AH55" s="29">
        <v>1.0659999999999999E-2</v>
      </c>
      <c r="AI55" s="87" t="str">
        <f t="shared" ref="AI55" ca="1" si="92">IF(AG55&lt;TODAY()-1,"",($AB$55-AH54)/($AB$53-AF54))</f>
        <v/>
      </c>
      <c r="AJ55" s="76">
        <f t="shared" ca="1" si="25"/>
        <v>106.6</v>
      </c>
      <c r="AK55" s="76">
        <f t="shared" ca="1" si="42"/>
        <v>0.29999999999998295</v>
      </c>
      <c r="AL55" s="76">
        <f t="shared" ca="1" si="52"/>
        <v>1.8857142857142861</v>
      </c>
      <c r="AM55" s="11">
        <f t="shared" si="26"/>
        <v>106.6</v>
      </c>
      <c r="AN55" s="11">
        <f t="shared" si="27"/>
        <v>563.95479849329081</v>
      </c>
      <c r="AO55" s="11">
        <f t="shared" si="86"/>
        <v>52.368711020579667</v>
      </c>
      <c r="AP55" s="12">
        <f t="shared" si="87"/>
        <v>0.1023653932406305</v>
      </c>
      <c r="AQ55" s="11">
        <f t="shared" si="30"/>
        <v>483.94200704891858</v>
      </c>
      <c r="AR55" s="11">
        <f t="shared" si="88"/>
        <v>54.221280979894573</v>
      </c>
      <c r="AS55" s="12">
        <f t="shared" si="89"/>
        <v>0.12617795161033324</v>
      </c>
      <c r="AT55" s="11">
        <f t="shared" si="33"/>
        <v>431.70151423700906</v>
      </c>
      <c r="AU55" s="11">
        <f t="shared" si="90"/>
        <v>56.052390524889006</v>
      </c>
      <c r="AV55" s="12">
        <f t="shared" si="91"/>
        <v>0.14921475117787028</v>
      </c>
      <c r="AW55" s="10">
        <f t="shared" si="36"/>
        <v>44823</v>
      </c>
      <c r="AX55" s="76">
        <f t="shared" si="79"/>
        <v>99625.403748425364</v>
      </c>
      <c r="AY55" s="75">
        <f t="shared" si="44"/>
        <v>15.84093546706899</v>
      </c>
      <c r="AZ55" s="75">
        <f t="shared" si="37"/>
        <v>8.6960694888351568</v>
      </c>
      <c r="BA55" s="75">
        <f t="shared" si="80"/>
        <v>7.1448659782338328</v>
      </c>
      <c r="BB55" s="75">
        <f t="shared" si="81"/>
        <v>99618.258882447131</v>
      </c>
      <c r="BC55" s="12"/>
      <c r="BD55" s="12"/>
      <c r="BE55" s="83">
        <f>BE54+0.0025</f>
        <v>0.12750000000000006</v>
      </c>
      <c r="BF55" s="10">
        <f t="shared" si="54"/>
        <v>45091</v>
      </c>
      <c r="BG55" s="11" t="s">
        <v>101</v>
      </c>
      <c r="BH55" s="11" t="str">
        <f t="shared" ca="1" si="70"/>
        <v/>
      </c>
      <c r="BI55" s="11">
        <f t="shared" ca="1" si="71"/>
        <v>647.68346809628406</v>
      </c>
      <c r="BJ55" s="11">
        <f t="shared" ca="1" si="72"/>
        <v>571.6549286151195</v>
      </c>
      <c r="BK55" s="11" t="e">
        <f t="shared" ca="1" si="55"/>
        <v>#VALUE!</v>
      </c>
      <c r="BL55" s="11">
        <f t="shared" ca="1" si="56"/>
        <v>136.09738062357292</v>
      </c>
      <c r="BM55" s="11">
        <f t="shared" ca="1" si="57"/>
        <v>141.93420254609549</v>
      </c>
      <c r="BN55" s="28">
        <f t="shared" ca="1" si="73"/>
        <v>265.67137809187182</v>
      </c>
      <c r="BO55" s="28">
        <f t="shared" ca="1" si="74"/>
        <v>0.26603026148718828</v>
      </c>
      <c r="BP55" s="28">
        <f t="shared" ca="1" si="75"/>
        <v>0.33029405829333275</v>
      </c>
    </row>
    <row r="56" spans="1:68" s="33" customFormat="1">
      <c r="C56" s="32">
        <f t="shared" si="2"/>
        <v>5</v>
      </c>
      <c r="D56" s="32">
        <f t="shared" si="10"/>
        <v>12</v>
      </c>
      <c r="E56" s="33">
        <f t="shared" si="11"/>
        <v>2023</v>
      </c>
      <c r="F56" s="32">
        <f t="shared" si="3"/>
        <v>61</v>
      </c>
      <c r="G56" s="32">
        <f t="shared" si="12"/>
        <v>52</v>
      </c>
      <c r="H56" s="34">
        <f t="shared" si="69"/>
        <v>176786.02453128534</v>
      </c>
      <c r="I56" s="35"/>
      <c r="J56" s="35"/>
      <c r="K56" s="35"/>
      <c r="L56" s="25" t="str">
        <f t="shared" ca="1" si="5"/>
        <v/>
      </c>
      <c r="M56" s="34">
        <f t="shared" si="6"/>
        <v>176786.02453128534</v>
      </c>
      <c r="N56" s="5">
        <f t="shared" si="83"/>
        <v>2.18E-2</v>
      </c>
      <c r="O56" s="6">
        <f t="shared" si="7"/>
        <v>5.0499999999999996E-2</v>
      </c>
      <c r="P56" s="34">
        <f t="shared" si="0"/>
        <v>743.97451990249237</v>
      </c>
      <c r="Q56" s="7">
        <f t="shared" si="8"/>
        <v>1147.1423660440396</v>
      </c>
      <c r="R56" s="34">
        <f t="shared" si="13"/>
        <v>403.16784614154722</v>
      </c>
      <c r="S56" s="34">
        <f t="shared" si="1"/>
        <v>176382.85668514378</v>
      </c>
      <c r="T56" s="34">
        <f t="shared" si="14"/>
        <v>0</v>
      </c>
      <c r="U56" s="34">
        <f t="shared" si="9"/>
        <v>176382.85668514378</v>
      </c>
      <c r="X56" s="27">
        <f t="shared" si="16"/>
        <v>0</v>
      </c>
      <c r="Z56" s="36"/>
      <c r="AB56" s="88"/>
      <c r="AE56" s="91" t="str">
        <f t="shared" ca="1" si="50"/>
        <v>last available</v>
      </c>
      <c r="AF56" s="70">
        <f t="shared" si="41"/>
        <v>44824</v>
      </c>
      <c r="AG56" s="10">
        <f>AG55+1</f>
        <v>44824</v>
      </c>
      <c r="AH56" s="29">
        <f ca="1">IF(AG56=TODAY()-1,Loan!F27,IF(AG56&gt;$AB$13,$AB$55,AH55-AI56*AF55+AI56*AF56))</f>
        <v>1.0999999999999999E-2</v>
      </c>
      <c r="AI56" s="87">
        <f ca="1">IF(AG56&lt;TODAY()-1,"",($AB$55-AH55)/($AB$53-AF55))</f>
        <v>5.9295774647887313E-5</v>
      </c>
      <c r="AJ56" s="76">
        <f t="shared" ca="1" si="25"/>
        <v>110</v>
      </c>
      <c r="AK56" s="76">
        <f t="shared" ca="1" si="42"/>
        <v>3.4000000000000057</v>
      </c>
      <c r="AL56" s="76">
        <f ca="1">IF(AG56&gt;TODAY(),"",(AJ56-AJ50)/7)</f>
        <v>1.6000000000000003</v>
      </c>
      <c r="AM56" s="11">
        <f t="shared" ca="1" si="26"/>
        <v>110</v>
      </c>
      <c r="AN56" s="11">
        <f t="shared" ca="1" si="27"/>
        <v>565.67520603213211</v>
      </c>
      <c r="AO56" s="11">
        <f t="shared" ca="1" si="86"/>
        <v>54.089118559420967</v>
      </c>
      <c r="AP56" s="12">
        <f t="shared" ca="1" si="87"/>
        <v>0.1057282828519182</v>
      </c>
      <c r="AQ56" s="11">
        <f t="shared" ca="1" si="30"/>
        <v>485.73290644788409</v>
      </c>
      <c r="AR56" s="11">
        <f t="shared" ca="1" si="88"/>
        <v>56.01218037886008</v>
      </c>
      <c r="AS56" s="12">
        <f t="shared" ca="1" si="89"/>
        <v>0.13034554067532481</v>
      </c>
      <c r="AT56" s="11">
        <f t="shared" ca="1" si="33"/>
        <v>433.56151171456639</v>
      </c>
      <c r="AU56" s="11">
        <f t="shared" ca="1" si="90"/>
        <v>57.912388002446335</v>
      </c>
      <c r="AV56" s="12">
        <f t="shared" ca="1" si="91"/>
        <v>0.15416617355622447</v>
      </c>
      <c r="AW56" s="10">
        <f t="shared" si="36"/>
        <v>44824</v>
      </c>
      <c r="AX56" s="76">
        <f t="shared" si="79"/>
        <v>99618.258882447131</v>
      </c>
      <c r="AY56" s="75">
        <f t="shared" ca="1" si="44"/>
        <v>15.896054141526939</v>
      </c>
      <c r="AZ56" s="75">
        <f t="shared" ca="1" si="37"/>
        <v>8.7882409205884873</v>
      </c>
      <c r="BA56" s="75">
        <f t="shared" ca="1" si="80"/>
        <v>7.1078132209384517</v>
      </c>
      <c r="BB56" s="75">
        <f t="shared" ca="1" si="81"/>
        <v>99611.151069226195</v>
      </c>
      <c r="BC56" s="12"/>
      <c r="BD56" s="12"/>
      <c r="BE56" s="83">
        <f t="shared" si="48"/>
        <v>0.13000000000000006</v>
      </c>
      <c r="BF56" s="10">
        <f t="shared" si="54"/>
        <v>45098</v>
      </c>
      <c r="BG56" s="11" t="s">
        <v>102</v>
      </c>
      <c r="BH56" s="11" t="str">
        <f t="shared" ca="1" si="70"/>
        <v/>
      </c>
      <c r="BI56" s="11">
        <f t="shared" ca="1" si="71"/>
        <v>649.91725601564508</v>
      </c>
      <c r="BJ56" s="11">
        <f t="shared" ca="1" si="72"/>
        <v>574.00812263070281</v>
      </c>
      <c r="BK56" s="11" t="e">
        <f t="shared" ca="1" si="55"/>
        <v>#VALUE!</v>
      </c>
      <c r="BL56" s="11">
        <f t="shared" ca="1" si="56"/>
        <v>138.33116854293394</v>
      </c>
      <c r="BM56" s="11">
        <f t="shared" ca="1" si="57"/>
        <v>144.2873965616788</v>
      </c>
      <c r="BN56" s="28">
        <f t="shared" ca="1" si="73"/>
        <v>269.75265017667562</v>
      </c>
      <c r="BO56" s="28">
        <f t="shared" ca="1" si="74"/>
        <v>0.2703966584124764</v>
      </c>
      <c r="BP56" s="28">
        <f t="shared" ca="1" si="75"/>
        <v>0.33577015910212948</v>
      </c>
    </row>
    <row r="57" spans="1:68">
      <c r="C57" s="3">
        <f t="shared" si="2"/>
        <v>5</v>
      </c>
      <c r="D57" s="3">
        <f t="shared" si="10"/>
        <v>1</v>
      </c>
      <c r="E57" s="1">
        <f t="shared" si="11"/>
        <v>2024</v>
      </c>
      <c r="F57" s="3">
        <f t="shared" si="3"/>
        <v>61</v>
      </c>
      <c r="G57" s="3">
        <f t="shared" si="12"/>
        <v>53</v>
      </c>
      <c r="H57" s="4">
        <f t="shared" si="69"/>
        <v>176382.85668514378</v>
      </c>
      <c r="L57" s="25" t="str">
        <f t="shared" ca="1" si="5"/>
        <v/>
      </c>
      <c r="M57" s="4">
        <f t="shared" si="6"/>
        <v>176382.85668514378</v>
      </c>
      <c r="N57" s="5">
        <f t="shared" si="83"/>
        <v>2.18E-2</v>
      </c>
      <c r="O57" s="6">
        <f t="shared" si="7"/>
        <v>5.0499999999999996E-2</v>
      </c>
      <c r="P57" s="4">
        <f t="shared" si="0"/>
        <v>742.27785521664657</v>
      </c>
      <c r="Q57" s="7">
        <f t="shared" si="8"/>
        <v>1147.1423660440396</v>
      </c>
      <c r="R57" s="4">
        <f t="shared" si="13"/>
        <v>404.86451082739302</v>
      </c>
      <c r="S57" s="4">
        <f t="shared" si="1"/>
        <v>175977.99217431637</v>
      </c>
      <c r="T57" s="4">
        <f t="shared" si="14"/>
        <v>0</v>
      </c>
      <c r="U57" s="4">
        <f t="shared" si="9"/>
        <v>175977.99217431637</v>
      </c>
      <c r="X57" s="27">
        <f t="shared" si="16"/>
        <v>0</v>
      </c>
      <c r="AE57" s="91" t="str">
        <f t="shared" ca="1" si="50"/>
        <v>today</v>
      </c>
      <c r="AF57" s="70">
        <f t="shared" si="41"/>
        <v>44825</v>
      </c>
      <c r="AG57" s="10">
        <f t="shared" si="85"/>
        <v>44825</v>
      </c>
      <c r="AH57" s="29">
        <f ca="1">IF(AG57=TODAY()-1,Loan!F26,IF(AG57&gt;$AB$13,$AB$55,AH56-AI57*AF56+AI57*AF57))</f>
        <v>1.1058303886925636E-2</v>
      </c>
      <c r="AI57" s="87">
        <f t="shared" ref="AI57:AI120" ca="1" si="93">IF(AG57&lt;TODAY()-1,"",($AB$55-AH56)/($AB$53-AF56))</f>
        <v>5.8303886925795042E-5</v>
      </c>
      <c r="AJ57" s="76">
        <f t="shared" ca="1" si="25"/>
        <v>110.58303886925636</v>
      </c>
      <c r="AK57" s="76">
        <f t="shared" ca="1" si="42"/>
        <v>0.58303886925635595</v>
      </c>
      <c r="AL57" s="76">
        <f t="shared" ref="AL57:AL120" ca="1" si="94">IF(AG57&gt;TODAY(),"",(AJ57-AJ51)/7)</f>
        <v>1.5118626956080508</v>
      </c>
      <c r="AM57" s="11">
        <f t="shared" ca="1" si="26"/>
        <v>110.58303886925636</v>
      </c>
      <c r="AN57" s="11">
        <f t="shared" ca="1" si="27"/>
        <v>565.97053334119585</v>
      </c>
      <c r="AO57" s="11">
        <f t="shared" ca="1" si="86"/>
        <v>54.384445868484704</v>
      </c>
      <c r="AP57" s="12">
        <f t="shared" ca="1" si="87"/>
        <v>0.1063055606870577</v>
      </c>
      <c r="AQ57" s="11">
        <f t="shared" ca="1" si="30"/>
        <v>486.04039020600555</v>
      </c>
      <c r="AR57" s="11">
        <f t="shared" ca="1" si="88"/>
        <v>56.319664136981544</v>
      </c>
      <c r="AS57" s="12">
        <f t="shared" ca="1" si="89"/>
        <v>0.13106108390949517</v>
      </c>
      <c r="AT57" s="11">
        <f t="shared" ca="1" si="33"/>
        <v>433.88090747516486</v>
      </c>
      <c r="AU57" s="11">
        <f t="shared" ca="1" si="90"/>
        <v>58.231783763044803</v>
      </c>
      <c r="AV57" s="12">
        <f t="shared" ca="1" si="91"/>
        <v>0.15501642380422781</v>
      </c>
      <c r="AW57" s="10">
        <f t="shared" si="36"/>
        <v>44825</v>
      </c>
      <c r="AX57" s="76">
        <f t="shared" ca="1" si="79"/>
        <v>99611.151069226195</v>
      </c>
      <c r="AY57" s="75">
        <f t="shared" ca="1" si="44"/>
        <v>15.90496778882439</v>
      </c>
      <c r="AZ57" s="75">
        <f t="shared" ca="1" si="37"/>
        <v>8.8035254293631695</v>
      </c>
      <c r="BA57" s="75">
        <f t="shared" ca="1" si="80"/>
        <v>7.1014423594612204</v>
      </c>
      <c r="BB57" s="75">
        <f t="shared" ca="1" si="81"/>
        <v>99604.049626866734</v>
      </c>
      <c r="BC57" s="12"/>
      <c r="BD57" s="12"/>
      <c r="BE57" s="83">
        <f>BE56+0.0025</f>
        <v>0.13250000000000006</v>
      </c>
      <c r="BF57" s="10">
        <f t="shared" si="54"/>
        <v>45105</v>
      </c>
      <c r="BG57" s="11" t="s">
        <v>103</v>
      </c>
      <c r="BH57" s="11" t="str">
        <f t="shared" ca="1" si="70"/>
        <v/>
      </c>
      <c r="BI57" s="11">
        <f t="shared" ca="1" si="71"/>
        <v>652.15524020039652</v>
      </c>
      <c r="BJ57" s="11">
        <f t="shared" ca="1" si="72"/>
        <v>576.36630184604553</v>
      </c>
      <c r="BK57" s="11" t="e">
        <f t="shared" ca="1" si="55"/>
        <v>#VALUE!</v>
      </c>
      <c r="BL57" s="11">
        <f t="shared" ca="1" si="56"/>
        <v>140.56915272768538</v>
      </c>
      <c r="BM57" s="11">
        <f t="shared" ca="1" si="57"/>
        <v>146.64557577702152</v>
      </c>
      <c r="BN57" s="28">
        <f t="shared" ca="1" si="73"/>
        <v>273.83392226148385</v>
      </c>
      <c r="BO57" s="28">
        <f t="shared" ca="1" si="74"/>
        <v>0.27477125779966322</v>
      </c>
      <c r="BP57" s="28">
        <f t="shared" ca="1" si="75"/>
        <v>0.34125786093330424</v>
      </c>
    </row>
    <row r="58" spans="1:68">
      <c r="C58" s="3">
        <f t="shared" si="2"/>
        <v>5</v>
      </c>
      <c r="D58" s="3">
        <f t="shared" si="10"/>
        <v>2</v>
      </c>
      <c r="E58" s="1">
        <f t="shared" si="11"/>
        <v>2024</v>
      </c>
      <c r="F58" s="3">
        <f t="shared" si="3"/>
        <v>62</v>
      </c>
      <c r="G58" s="3">
        <f t="shared" si="12"/>
        <v>54</v>
      </c>
      <c r="H58" s="4">
        <f t="shared" si="69"/>
        <v>175977.99217431637</v>
      </c>
      <c r="L58" s="25" t="str">
        <f t="shared" ca="1" si="5"/>
        <v/>
      </c>
      <c r="M58" s="4">
        <f t="shared" si="6"/>
        <v>175977.99217431637</v>
      </c>
      <c r="N58" s="5">
        <f t="shared" si="83"/>
        <v>2.18E-2</v>
      </c>
      <c r="O58" s="6">
        <f t="shared" si="7"/>
        <v>5.0499999999999996E-2</v>
      </c>
      <c r="P58" s="4">
        <f t="shared" si="0"/>
        <v>740.57405040024798</v>
      </c>
      <c r="Q58" s="7">
        <f t="shared" si="8"/>
        <v>1147.1423660440398</v>
      </c>
      <c r="R58" s="4">
        <f t="shared" si="13"/>
        <v>406.56831564379183</v>
      </c>
      <c r="S58" s="4">
        <f t="shared" si="1"/>
        <v>175571.42385867258</v>
      </c>
      <c r="T58" s="4">
        <f t="shared" si="14"/>
        <v>0</v>
      </c>
      <c r="U58" s="4">
        <f t="shared" si="9"/>
        <v>175571.42385867258</v>
      </c>
      <c r="X58" s="27">
        <f t="shared" si="16"/>
        <v>0</v>
      </c>
      <c r="AE58" s="91" t="str">
        <f t="shared" ca="1" si="50"/>
        <v/>
      </c>
      <c r="AF58" s="70">
        <f t="shared" si="41"/>
        <v>44826</v>
      </c>
      <c r="AG58" s="10">
        <f t="shared" si="85"/>
        <v>44826</v>
      </c>
      <c r="AH58" s="29">
        <f ca="1">IF(AG58=TODAY()-1,Loan!F28,IF(AG58&gt;$AB$13,$AB$55,AH57-AI58*AF57+AI58*AF58))</f>
        <v>1.1116607773851594E-2</v>
      </c>
      <c r="AI58" s="87">
        <f t="shared" ca="1" si="93"/>
        <v>5.8303886925795604E-5</v>
      </c>
      <c r="AJ58" s="76" t="str">
        <f t="shared" ca="1" si="25"/>
        <v/>
      </c>
      <c r="AK58" s="76" t="str">
        <f t="shared" ca="1" si="42"/>
        <v/>
      </c>
      <c r="AL58" s="76" t="str">
        <f t="shared" ca="1" si="94"/>
        <v/>
      </c>
      <c r="AM58" s="11">
        <f t="shared" ca="1" si="26"/>
        <v>111.16607773851595</v>
      </c>
      <c r="AN58" s="11">
        <f t="shared" ca="1" si="27"/>
        <v>566.26595088598879</v>
      </c>
      <c r="AO58" s="11">
        <f t="shared" ca="1" si="86"/>
        <v>54.679863413277644</v>
      </c>
      <c r="AP58" s="12">
        <f t="shared" ca="1" si="87"/>
        <v>0.10688301490644887</v>
      </c>
      <c r="AQ58" s="11">
        <f t="shared" ca="1" si="30"/>
        <v>486.34798418187103</v>
      </c>
      <c r="AR58" s="11">
        <f t="shared" ca="1" si="88"/>
        <v>56.627258112847016</v>
      </c>
      <c r="AS58" s="12">
        <f t="shared" ca="1" si="89"/>
        <v>0.13177688363058207</v>
      </c>
      <c r="AT58" s="11">
        <f t="shared" ca="1" si="33"/>
        <v>434.20043183036427</v>
      </c>
      <c r="AU58" s="11">
        <f t="shared" ca="1" si="90"/>
        <v>58.551308118244208</v>
      </c>
      <c r="AV58" s="12">
        <f t="shared" ca="1" si="91"/>
        <v>0.1558670163786012</v>
      </c>
      <c r="AW58" s="10">
        <f t="shared" si="36"/>
        <v>44826</v>
      </c>
      <c r="AX58" s="76">
        <f t="shared" ca="1" si="79"/>
        <v>99604.049626866734</v>
      </c>
      <c r="AY58" s="75">
        <f t="shared" ca="1" si="44"/>
        <v>15.913884642522909</v>
      </c>
      <c r="AZ58" s="75">
        <f t="shared" ca="1" si="37"/>
        <v>8.8188082314484983</v>
      </c>
      <c r="BA58" s="75">
        <f t="shared" ca="1" si="80"/>
        <v>7.0950764110744107</v>
      </c>
      <c r="BB58" s="75">
        <f t="shared" ca="1" si="81"/>
        <v>99596.954550455659</v>
      </c>
      <c r="BC58" s="12"/>
      <c r="BD58" s="12"/>
      <c r="BE58" s="83">
        <f t="shared" ref="BE58:BE60" si="95">BE57+0.0025</f>
        <v>0.13500000000000006</v>
      </c>
      <c r="BF58" s="10"/>
      <c r="BG58" s="11"/>
      <c r="BH58" s="11"/>
      <c r="BI58" s="11"/>
      <c r="BN58" s="28"/>
      <c r="BO58" s="28"/>
      <c r="BP58" s="28"/>
    </row>
    <row r="59" spans="1:68">
      <c r="C59" s="3">
        <f t="shared" si="2"/>
        <v>5</v>
      </c>
      <c r="D59" s="3">
        <f t="shared" si="10"/>
        <v>3</v>
      </c>
      <c r="E59" s="1">
        <f t="shared" si="11"/>
        <v>2024</v>
      </c>
      <c r="F59" s="3">
        <f t="shared" si="3"/>
        <v>62</v>
      </c>
      <c r="G59" s="3">
        <f t="shared" si="12"/>
        <v>55</v>
      </c>
      <c r="H59" s="4">
        <f t="shared" si="69"/>
        <v>175571.42385867258</v>
      </c>
      <c r="L59" s="25" t="str">
        <f t="shared" ca="1" si="5"/>
        <v/>
      </c>
      <c r="M59" s="4">
        <f t="shared" si="6"/>
        <v>175571.42385867258</v>
      </c>
      <c r="N59" s="5">
        <f t="shared" si="83"/>
        <v>2.18E-2</v>
      </c>
      <c r="O59" s="6">
        <f t="shared" si="7"/>
        <v>5.0499999999999996E-2</v>
      </c>
      <c r="P59" s="4">
        <f t="shared" si="0"/>
        <v>738.86307540524706</v>
      </c>
      <c r="Q59" s="7">
        <f t="shared" si="8"/>
        <v>1147.1423660440396</v>
      </c>
      <c r="R59" s="4">
        <f t="shared" si="13"/>
        <v>408.27929063879253</v>
      </c>
      <c r="S59" s="4">
        <f t="shared" si="1"/>
        <v>175163.14456803378</v>
      </c>
      <c r="T59" s="4">
        <f t="shared" si="14"/>
        <v>0</v>
      </c>
      <c r="U59" s="4">
        <f t="shared" si="9"/>
        <v>175163.14456803378</v>
      </c>
      <c r="X59" s="27">
        <f t="shared" si="16"/>
        <v>0</v>
      </c>
      <c r="AE59" s="91" t="str">
        <f t="shared" ca="1" si="50"/>
        <v/>
      </c>
      <c r="AF59" s="70">
        <f t="shared" si="41"/>
        <v>44827</v>
      </c>
      <c r="AG59" s="10">
        <f t="shared" si="85"/>
        <v>44827</v>
      </c>
      <c r="AH59" s="29">
        <f ca="1">IF(AG59=TODAY()-1,Loan!F29,IF(AG59&gt;$AB$13,$AB$55,AH58-AI59*AF58+AI59*AF59))</f>
        <v>1.1174911660777109E-2</v>
      </c>
      <c r="AI59" s="87">
        <f t="shared" ca="1" si="93"/>
        <v>5.8303886925795029E-5</v>
      </c>
      <c r="AJ59" s="76" t="str">
        <f t="shared" ca="1" si="25"/>
        <v/>
      </c>
      <c r="AK59" s="76" t="str">
        <f t="shared" ca="1" si="42"/>
        <v/>
      </c>
      <c r="AL59" s="76" t="str">
        <f t="shared" ca="1" si="94"/>
        <v/>
      </c>
      <c r="AM59" s="11">
        <f t="shared" ca="1" si="26"/>
        <v>111.7491166077711</v>
      </c>
      <c r="AN59" s="11">
        <f t="shared" ca="1" si="27"/>
        <v>566.56145865237249</v>
      </c>
      <c r="AO59" s="11">
        <f t="shared" ca="1" si="86"/>
        <v>54.975371179661352</v>
      </c>
      <c r="AP59" s="12">
        <f t="shared" ca="1" si="87"/>
        <v>0.10746064548245525</v>
      </c>
      <c r="AQ59" s="11">
        <f t="shared" ca="1" si="30"/>
        <v>486.65568834912176</v>
      </c>
      <c r="AR59" s="11">
        <f t="shared" ca="1" si="88"/>
        <v>56.93496228009775</v>
      </c>
      <c r="AS59" s="12">
        <f t="shared" ca="1" si="89"/>
        <v>0.1324929397772463</v>
      </c>
      <c r="AT59" s="11">
        <f t="shared" ca="1" si="33"/>
        <v>434.52008473655786</v>
      </c>
      <c r="AU59" s="11">
        <f t="shared" ca="1" si="90"/>
        <v>58.870961024437804</v>
      </c>
      <c r="AV59" s="12">
        <f t="shared" ca="1" si="91"/>
        <v>0.15671795116326095</v>
      </c>
      <c r="AW59" s="10">
        <f t="shared" si="36"/>
        <v>44827</v>
      </c>
      <c r="AX59" s="76">
        <f t="shared" ca="1" si="79"/>
        <v>99596.954550455659</v>
      </c>
      <c r="AY59" s="75">
        <f t="shared" ca="1" si="44"/>
        <v>15.922804702072133</v>
      </c>
      <c r="AZ59" s="75">
        <f t="shared" ca="1" si="37"/>
        <v>8.8340893294614649</v>
      </c>
      <c r="BA59" s="75">
        <f t="shared" ca="1" si="80"/>
        <v>7.0887153726106682</v>
      </c>
      <c r="BB59" s="75">
        <f t="shared" ca="1" si="81"/>
        <v>99589.865835083052</v>
      </c>
      <c r="BC59" s="12"/>
      <c r="BD59" s="12"/>
      <c r="BE59" s="83">
        <f t="shared" si="95"/>
        <v>0.13750000000000007</v>
      </c>
      <c r="BF59" s="10"/>
      <c r="BG59" s="11"/>
      <c r="BH59" s="11"/>
      <c r="BI59" s="11"/>
      <c r="BN59" s="28"/>
      <c r="BO59" s="28"/>
      <c r="BP59" s="28"/>
    </row>
    <row r="60" spans="1:68">
      <c r="C60" s="3">
        <f t="shared" si="2"/>
        <v>5</v>
      </c>
      <c r="D60" s="3">
        <f t="shared" si="10"/>
        <v>4</v>
      </c>
      <c r="E60" s="1">
        <f t="shared" si="11"/>
        <v>2024</v>
      </c>
      <c r="F60" s="3">
        <f t="shared" si="3"/>
        <v>62</v>
      </c>
      <c r="G60" s="3">
        <f t="shared" si="12"/>
        <v>56</v>
      </c>
      <c r="H60" s="4">
        <f t="shared" si="69"/>
        <v>175163.14456803378</v>
      </c>
      <c r="L60" s="25" t="str">
        <f t="shared" ca="1" si="5"/>
        <v/>
      </c>
      <c r="M60" s="4">
        <f t="shared" si="6"/>
        <v>175163.14456803378</v>
      </c>
      <c r="N60" s="5">
        <f t="shared" si="83"/>
        <v>2.18E-2</v>
      </c>
      <c r="O60" s="6">
        <f t="shared" si="7"/>
        <v>5.0499999999999996E-2</v>
      </c>
      <c r="P60" s="4">
        <f t="shared" si="0"/>
        <v>737.14490005714208</v>
      </c>
      <c r="Q60" s="7">
        <f t="shared" si="8"/>
        <v>1147.1423660440394</v>
      </c>
      <c r="R60" s="4">
        <f t="shared" si="13"/>
        <v>409.99746598689728</v>
      </c>
      <c r="S60" s="4">
        <f t="shared" si="1"/>
        <v>174753.14710204687</v>
      </c>
      <c r="T60" s="4">
        <f t="shared" si="14"/>
        <v>0</v>
      </c>
      <c r="U60" s="4">
        <f t="shared" si="9"/>
        <v>174753.14710204687</v>
      </c>
      <c r="X60" s="27">
        <f t="shared" si="16"/>
        <v>0</v>
      </c>
      <c r="AE60" s="91" t="str">
        <f t="shared" ca="1" si="50"/>
        <v/>
      </c>
      <c r="AF60" s="70">
        <f t="shared" si="41"/>
        <v>44830</v>
      </c>
      <c r="AG60" s="10">
        <f>AG59+3</f>
        <v>44830</v>
      </c>
      <c r="AH60" s="29">
        <f ca="1">IF(AG60=TODAY()-1,Loan!F30,IF(AG60&gt;$AB$13,$AB$55,AH59-AI60*AF59+AI60*AF60))</f>
        <v>1.1349823321554542E-2</v>
      </c>
      <c r="AI60" s="87">
        <f t="shared" ca="1" si="93"/>
        <v>5.8303886925796025E-5</v>
      </c>
      <c r="AJ60" s="76" t="str">
        <f t="shared" ca="1" si="25"/>
        <v/>
      </c>
      <c r="AK60" s="76" t="str">
        <f t="shared" ca="1" si="42"/>
        <v/>
      </c>
      <c r="AL60" s="76" t="str">
        <f t="shared" ca="1" si="94"/>
        <v/>
      </c>
      <c r="AM60" s="11">
        <f t="shared" ca="1" si="26"/>
        <v>113.49823321554541</v>
      </c>
      <c r="AN60" s="11">
        <f t="shared" ca="1" si="27"/>
        <v>567.44852314014554</v>
      </c>
      <c r="AO60" s="11">
        <f t="shared" ca="1" si="86"/>
        <v>55.862435667434397</v>
      </c>
      <c r="AP60" s="12">
        <f t="shared" ca="1" si="87"/>
        <v>0.10919459507470322</v>
      </c>
      <c r="AQ60" s="11">
        <f t="shared" ca="1" si="30"/>
        <v>487.5794617356546</v>
      </c>
      <c r="AR60" s="11">
        <f t="shared" ca="1" si="88"/>
        <v>57.858735666630594</v>
      </c>
      <c r="AS60" s="12">
        <f t="shared" ca="1" si="89"/>
        <v>0.13464264615744184</v>
      </c>
      <c r="AT60" s="11">
        <f t="shared" ca="1" si="33"/>
        <v>435.47981432467378</v>
      </c>
      <c r="AU60" s="11">
        <f t="shared" ca="1" si="90"/>
        <v>59.830690612553724</v>
      </c>
      <c r="AV60" s="12">
        <f t="shared" ca="1" si="91"/>
        <v>0.15927280761715598</v>
      </c>
      <c r="AW60" s="10">
        <f t="shared" si="36"/>
        <v>44830</v>
      </c>
      <c r="AX60" s="76">
        <f t="shared" ca="1" si="79"/>
        <v>99589.865835083052</v>
      </c>
      <c r="AY60" s="75">
        <f t="shared" ca="1" si="44"/>
        <v>15.954117451469363</v>
      </c>
      <c r="AZ60" s="75">
        <f t="shared" ca="1" si="37"/>
        <v>8.8811850343815752</v>
      </c>
      <c r="BA60" s="75">
        <f t="shared" ca="1" si="80"/>
        <v>7.0729324170877881</v>
      </c>
      <c r="BB60" s="75">
        <f t="shared" ca="1" si="81"/>
        <v>99582.792902665969</v>
      </c>
      <c r="BC60" s="12"/>
      <c r="BD60" s="12"/>
      <c r="BE60" s="83">
        <f t="shared" si="95"/>
        <v>0.14000000000000007</v>
      </c>
      <c r="BF60" s="10"/>
      <c r="BG60" s="11"/>
      <c r="BH60" s="11"/>
      <c r="BI60" s="11"/>
      <c r="BN60" s="28"/>
      <c r="BO60" s="28"/>
      <c r="BP60" s="28"/>
    </row>
    <row r="61" spans="1:68">
      <c r="C61" s="3">
        <f t="shared" si="2"/>
        <v>5</v>
      </c>
      <c r="D61" s="3">
        <f t="shared" si="10"/>
        <v>5</v>
      </c>
      <c r="E61" s="1">
        <f t="shared" si="11"/>
        <v>2024</v>
      </c>
      <c r="F61" s="3">
        <f t="shared" si="3"/>
        <v>62</v>
      </c>
      <c r="G61" s="3">
        <f t="shared" si="12"/>
        <v>57</v>
      </c>
      <c r="H61" s="4">
        <f t="shared" si="69"/>
        <v>174753.14710204687</v>
      </c>
      <c r="L61" s="25" t="str">
        <f t="shared" ca="1" si="5"/>
        <v/>
      </c>
      <c r="M61" s="4">
        <f t="shared" si="6"/>
        <v>174753.14710204687</v>
      </c>
      <c r="N61" s="5">
        <f t="shared" si="83"/>
        <v>2.18E-2</v>
      </c>
      <c r="O61" s="6">
        <f t="shared" si="7"/>
        <v>5.0499999999999996E-2</v>
      </c>
      <c r="P61" s="4">
        <f t="shared" si="0"/>
        <v>735.41949405444723</v>
      </c>
      <c r="Q61" s="7">
        <f t="shared" si="8"/>
        <v>1147.1423660440398</v>
      </c>
      <c r="R61" s="4">
        <f t="shared" si="13"/>
        <v>411.72287198959259</v>
      </c>
      <c r="S61" s="4">
        <f t="shared" si="1"/>
        <v>174341.42423005728</v>
      </c>
      <c r="T61" s="4">
        <f t="shared" si="14"/>
        <v>0</v>
      </c>
      <c r="U61" s="4">
        <f t="shared" si="9"/>
        <v>174341.42423005728</v>
      </c>
      <c r="X61" s="27">
        <f t="shared" si="16"/>
        <v>0</v>
      </c>
      <c r="AE61" s="91" t="str">
        <f t="shared" ca="1" si="50"/>
        <v/>
      </c>
      <c r="AF61" s="70">
        <f t="shared" si="41"/>
        <v>44831</v>
      </c>
      <c r="AG61" s="10">
        <f>AG60+1</f>
        <v>44831</v>
      </c>
      <c r="AH61" s="29">
        <f ca="1">IF(AG61=TODAY()-1,Loan!F31,IF(AG61&gt;$AB$13,$AB$55,AH60-AI61*AF60+AI61*AF61))</f>
        <v>1.1408127208480501E-2</v>
      </c>
      <c r="AI61" s="87">
        <f t="shared" ca="1" si="93"/>
        <v>5.8303886925795869E-5</v>
      </c>
      <c r="AJ61" s="76" t="str">
        <f t="shared" ca="1" si="25"/>
        <v/>
      </c>
      <c r="AK61" s="76" t="str">
        <f t="shared" ca="1" si="42"/>
        <v/>
      </c>
      <c r="AL61" s="76" t="str">
        <f t="shared" ca="1" si="94"/>
        <v/>
      </c>
      <c r="AM61" s="11">
        <f t="shared" ca="1" si="26"/>
        <v>114.08127208480501</v>
      </c>
      <c r="AN61" s="11">
        <f t="shared" ca="1" si="27"/>
        <v>567.7443916517492</v>
      </c>
      <c r="AO61" s="11">
        <f t="shared" ca="1" si="86"/>
        <v>56.158304179038055</v>
      </c>
      <c r="AP61" s="12">
        <f t="shared" ca="1" si="87"/>
        <v>0.10977293080127717</v>
      </c>
      <c r="AQ61" s="11">
        <f t="shared" ca="1" si="30"/>
        <v>487.88760640463295</v>
      </c>
      <c r="AR61" s="11">
        <f t="shared" ca="1" si="88"/>
        <v>58.166880335608937</v>
      </c>
      <c r="AS61" s="12">
        <f t="shared" ca="1" si="89"/>
        <v>0.13535972739249694</v>
      </c>
      <c r="AT61" s="11">
        <f t="shared" ca="1" si="33"/>
        <v>435.79998099804396</v>
      </c>
      <c r="AU61" s="11">
        <f t="shared" ca="1" si="90"/>
        <v>60.150857285923905</v>
      </c>
      <c r="AV61" s="12">
        <f t="shared" ca="1" si="91"/>
        <v>0.16012511008017341</v>
      </c>
      <c r="AW61" s="10">
        <f t="shared" si="36"/>
        <v>44831</v>
      </c>
      <c r="AX61" s="76">
        <f t="shared" ca="1" si="79"/>
        <v>99582.792902665969</v>
      </c>
      <c r="AY61" s="75">
        <f t="shared" ca="1" si="44"/>
        <v>15.960785719589097</v>
      </c>
      <c r="AZ61" s="75">
        <f t="shared" ca="1" si="37"/>
        <v>8.8964613116326063</v>
      </c>
      <c r="BA61" s="75">
        <f t="shared" ca="1" si="80"/>
        <v>7.0643244079564909</v>
      </c>
      <c r="BB61" s="75">
        <f t="shared" ca="1" si="81"/>
        <v>99575.728578258015</v>
      </c>
      <c r="BC61" s="12"/>
      <c r="BD61" s="12"/>
    </row>
    <row r="62" spans="1:68">
      <c r="C62" s="3">
        <f t="shared" si="2"/>
        <v>5</v>
      </c>
      <c r="D62" s="3">
        <f t="shared" si="10"/>
        <v>6</v>
      </c>
      <c r="E62" s="1">
        <f t="shared" si="11"/>
        <v>2024</v>
      </c>
      <c r="F62" s="3">
        <f t="shared" si="3"/>
        <v>62</v>
      </c>
      <c r="G62" s="3">
        <f t="shared" si="12"/>
        <v>58</v>
      </c>
      <c r="H62" s="4">
        <f t="shared" si="69"/>
        <v>174341.42423005728</v>
      </c>
      <c r="L62" s="25" t="str">
        <f t="shared" ca="1" si="5"/>
        <v/>
      </c>
      <c r="M62" s="4">
        <f t="shared" si="6"/>
        <v>174341.42423005728</v>
      </c>
      <c r="N62" s="5">
        <f t="shared" si="83"/>
        <v>2.18E-2</v>
      </c>
      <c r="O62" s="6">
        <f t="shared" si="7"/>
        <v>5.0499999999999996E-2</v>
      </c>
      <c r="P62" s="4">
        <f t="shared" si="0"/>
        <v>733.68682696815767</v>
      </c>
      <c r="Q62" s="7">
        <f t="shared" si="8"/>
        <v>1147.1423660440396</v>
      </c>
      <c r="R62" s="4">
        <f t="shared" si="13"/>
        <v>413.45553907588192</v>
      </c>
      <c r="S62" s="4">
        <f t="shared" si="1"/>
        <v>173927.96869098139</v>
      </c>
      <c r="T62" s="4">
        <f t="shared" si="14"/>
        <v>0</v>
      </c>
      <c r="U62" s="4">
        <f t="shared" si="9"/>
        <v>173927.96869098139</v>
      </c>
      <c r="X62" s="27">
        <f t="shared" si="16"/>
        <v>0</v>
      </c>
      <c r="AE62" s="91" t="str">
        <f t="shared" ca="1" si="50"/>
        <v/>
      </c>
      <c r="AF62" s="70">
        <f t="shared" si="41"/>
        <v>44832</v>
      </c>
      <c r="AG62" s="10">
        <f t="shared" ref="AG62:AG64" si="96">AG61+1</f>
        <v>44832</v>
      </c>
      <c r="AH62" s="29">
        <f ca="1">IF(AG62=TODAY()-1,Loan!F32,IF(AG62&gt;$AB$13,$AB$55,AH61-AI62*AF61+AI62*AF62))</f>
        <v>1.1466431095406016E-2</v>
      </c>
      <c r="AI62" s="87">
        <f t="shared" ca="1" si="93"/>
        <v>5.8303886925795272E-5</v>
      </c>
      <c r="AJ62" s="76" t="str">
        <f t="shared" ca="1" si="25"/>
        <v/>
      </c>
      <c r="AK62" s="76" t="str">
        <f t="shared" ca="1" si="42"/>
        <v/>
      </c>
      <c r="AL62" s="76" t="str">
        <f t="shared" ca="1" si="94"/>
        <v/>
      </c>
      <c r="AM62" s="11">
        <f t="shared" ca="1" si="26"/>
        <v>114.66431095406016</v>
      </c>
      <c r="AN62" s="11">
        <f t="shared" ca="1" si="27"/>
        <v>568.04035031423996</v>
      </c>
      <c r="AO62" s="11">
        <f t="shared" ca="1" si="86"/>
        <v>56.454262841528816</v>
      </c>
      <c r="AP62" s="12">
        <f t="shared" ca="1" si="87"/>
        <v>0.1103514427462615</v>
      </c>
      <c r="AQ62" s="11">
        <f t="shared" ca="1" si="30"/>
        <v>488.19586113287704</v>
      </c>
      <c r="AR62" s="11">
        <f t="shared" ca="1" si="88"/>
        <v>58.475135063853031</v>
      </c>
      <c r="AS62" s="12">
        <f t="shared" ca="1" si="89"/>
        <v>0.13607706474567496</v>
      </c>
      <c r="AT62" s="11">
        <f t="shared" ca="1" si="33"/>
        <v>436.12027600369481</v>
      </c>
      <c r="AU62" s="11">
        <f t="shared" ca="1" si="90"/>
        <v>60.471152291574754</v>
      </c>
      <c r="AV62" s="12">
        <f t="shared" ca="1" si="91"/>
        <v>0.16097775417124896</v>
      </c>
      <c r="AW62" s="10">
        <f t="shared" si="36"/>
        <v>44832</v>
      </c>
      <c r="AX62" s="76">
        <f t="shared" ca="1" si="79"/>
        <v>99575.728578258015</v>
      </c>
      <c r="AY62" s="75">
        <f t="shared" ca="1" si="44"/>
        <v>15.969723071860063</v>
      </c>
      <c r="AZ62" s="75">
        <f t="shared" ca="1" si="37"/>
        <v>8.9117360996616917</v>
      </c>
      <c r="BA62" s="75">
        <f t="shared" ca="1" si="80"/>
        <v>7.0579869721983712</v>
      </c>
      <c r="BB62" s="75">
        <f t="shared" ca="1" si="81"/>
        <v>99568.670591285816</v>
      </c>
      <c r="BC62" s="12"/>
      <c r="BD62" s="12"/>
    </row>
    <row r="63" spans="1:68">
      <c r="C63" s="3">
        <f t="shared" si="2"/>
        <v>5</v>
      </c>
      <c r="D63" s="3">
        <f t="shared" si="10"/>
        <v>7</v>
      </c>
      <c r="E63" s="1">
        <f t="shared" si="11"/>
        <v>2024</v>
      </c>
      <c r="F63" s="3">
        <f t="shared" si="3"/>
        <v>62</v>
      </c>
      <c r="G63" s="3">
        <f t="shared" si="12"/>
        <v>59</v>
      </c>
      <c r="H63" s="4">
        <f t="shared" si="69"/>
        <v>173927.96869098139</v>
      </c>
      <c r="L63" s="25" t="str">
        <f t="shared" ca="1" si="5"/>
        <v/>
      </c>
      <c r="M63" s="4">
        <f t="shared" si="6"/>
        <v>173927.96869098139</v>
      </c>
      <c r="N63" s="5">
        <f t="shared" si="83"/>
        <v>2.18E-2</v>
      </c>
      <c r="O63" s="6">
        <f t="shared" si="7"/>
        <v>5.0499999999999996E-2</v>
      </c>
      <c r="P63" s="4">
        <f t="shared" si="0"/>
        <v>731.94686824121334</v>
      </c>
      <c r="Q63" s="7">
        <f t="shared" si="8"/>
        <v>1147.1423660440396</v>
      </c>
      <c r="R63" s="4">
        <f t="shared" si="13"/>
        <v>415.19549780282625</v>
      </c>
      <c r="S63" s="4">
        <f t="shared" si="1"/>
        <v>173512.77319317855</v>
      </c>
      <c r="T63" s="4">
        <f t="shared" si="14"/>
        <v>0</v>
      </c>
      <c r="U63" s="4">
        <f t="shared" si="9"/>
        <v>173512.77319317855</v>
      </c>
      <c r="X63" s="27">
        <f t="shared" si="16"/>
        <v>0</v>
      </c>
      <c r="AE63" s="91" t="str">
        <f t="shared" ca="1" si="50"/>
        <v/>
      </c>
      <c r="AF63" s="70">
        <f t="shared" si="41"/>
        <v>44833</v>
      </c>
      <c r="AG63" s="10">
        <f t="shared" si="96"/>
        <v>44833</v>
      </c>
      <c r="AH63" s="29">
        <f ca="1">IF(AG63=TODAY()-1,Loan!F33,IF(AG63&gt;$AB$13,$AB$55,AH62-AI63*AF62+AI63*AF63))</f>
        <v>1.1524734982331974E-2</v>
      </c>
      <c r="AI63" s="87">
        <f t="shared" ca="1" si="93"/>
        <v>5.8303886925796296E-5</v>
      </c>
      <c r="AJ63" s="76" t="str">
        <f t="shared" ca="1" si="25"/>
        <v/>
      </c>
      <c r="AK63" s="76" t="str">
        <f t="shared" ca="1" si="42"/>
        <v/>
      </c>
      <c r="AL63" s="76" t="str">
        <f t="shared" ca="1" si="94"/>
        <v/>
      </c>
      <c r="AM63" s="11">
        <f t="shared" ca="1" si="26"/>
        <v>115.24734982331975</v>
      </c>
      <c r="AN63" s="11">
        <f t="shared" ca="1" si="27"/>
        <v>568.33639911341527</v>
      </c>
      <c r="AO63" s="11">
        <f t="shared" ca="1" si="86"/>
        <v>56.750311640704126</v>
      </c>
      <c r="AP63" s="12">
        <f t="shared" ca="1" si="87"/>
        <v>0.11093013088189441</v>
      </c>
      <c r="AQ63" s="11">
        <f t="shared" ca="1" si="30"/>
        <v>488.50422589385118</v>
      </c>
      <c r="AR63" s="11">
        <f t="shared" ca="1" si="88"/>
        <v>58.783499824827175</v>
      </c>
      <c r="AS63" s="12">
        <f t="shared" ca="1" si="89"/>
        <v>0.13679465815522487</v>
      </c>
      <c r="AT63" s="11">
        <f t="shared" ca="1" si="33"/>
        <v>436.44069929771098</v>
      </c>
      <c r="AU63" s="11">
        <f t="shared" ca="1" si="90"/>
        <v>60.79157558559092</v>
      </c>
      <c r="AV63" s="12">
        <f t="shared" ca="1" si="91"/>
        <v>0.16183073977347739</v>
      </c>
      <c r="AW63" s="10">
        <f t="shared" si="36"/>
        <v>44833</v>
      </c>
      <c r="AX63" s="76">
        <f t="shared" ca="1" si="79"/>
        <v>99568.670591285816</v>
      </c>
      <c r="AY63" s="75">
        <f t="shared" ca="1" si="44"/>
        <v>15.978663627568164</v>
      </c>
      <c r="AZ63" s="75">
        <f t="shared" ca="1" si="37"/>
        <v>8.9270091990217537</v>
      </c>
      <c r="BA63" s="75">
        <f t="shared" ca="1" si="80"/>
        <v>7.05165442854641</v>
      </c>
      <c r="BB63" s="75">
        <f t="shared" ca="1" si="81"/>
        <v>99561.618936857267</v>
      </c>
      <c r="BC63" s="12"/>
      <c r="BD63" s="12"/>
    </row>
    <row r="64" spans="1:68">
      <c r="C64" s="3">
        <f t="shared" si="2"/>
        <v>5</v>
      </c>
      <c r="D64" s="3">
        <f t="shared" si="10"/>
        <v>8</v>
      </c>
      <c r="E64" s="1">
        <f t="shared" si="11"/>
        <v>2024</v>
      </c>
      <c r="F64" s="3">
        <f t="shared" si="3"/>
        <v>62</v>
      </c>
      <c r="G64" s="3">
        <f t="shared" si="12"/>
        <v>60</v>
      </c>
      <c r="H64" s="4">
        <f t="shared" si="69"/>
        <v>173512.77319317855</v>
      </c>
      <c r="L64" s="25" t="str">
        <f t="shared" ca="1" si="5"/>
        <v/>
      </c>
      <c r="M64" s="4">
        <f t="shared" si="6"/>
        <v>173512.77319317855</v>
      </c>
      <c r="N64" s="5">
        <f t="shared" si="83"/>
        <v>2.18E-2</v>
      </c>
      <c r="O64" s="6">
        <f t="shared" si="7"/>
        <v>5.0499999999999996E-2</v>
      </c>
      <c r="P64" s="4">
        <f t="shared" si="0"/>
        <v>730.19958718795976</v>
      </c>
      <c r="Q64" s="7">
        <f t="shared" si="8"/>
        <v>1147.1423660440396</v>
      </c>
      <c r="R64" s="4">
        <f t="shared" si="13"/>
        <v>416.94277885607983</v>
      </c>
      <c r="S64" s="4">
        <f t="shared" si="1"/>
        <v>173095.83041432247</v>
      </c>
      <c r="T64" s="4">
        <f t="shared" si="14"/>
        <v>0</v>
      </c>
      <c r="U64" s="4">
        <f t="shared" si="9"/>
        <v>173095.83041432247</v>
      </c>
      <c r="X64" s="27">
        <f t="shared" si="16"/>
        <v>0</v>
      </c>
      <c r="AE64" s="91" t="str">
        <f t="shared" ca="1" si="50"/>
        <v/>
      </c>
      <c r="AF64" s="70">
        <f t="shared" si="41"/>
        <v>44834</v>
      </c>
      <c r="AG64" s="10">
        <f t="shared" si="96"/>
        <v>44834</v>
      </c>
      <c r="AH64" s="29">
        <f ca="1">IF(AG64=TODAY()-1,Loan!F34,IF(AG64&gt;$AB$13,$AB$55,AH63-AI64*AF63+AI64*AF64))</f>
        <v>1.1583038869257933E-2</v>
      </c>
      <c r="AI64" s="87">
        <f t="shared" ca="1" si="93"/>
        <v>5.8303886925795699E-5</v>
      </c>
      <c r="AJ64" s="76" t="str">
        <f t="shared" ca="1" si="25"/>
        <v/>
      </c>
      <c r="AK64" s="76" t="str">
        <f t="shared" ca="1" si="42"/>
        <v/>
      </c>
      <c r="AL64" s="76" t="str">
        <f t="shared" ca="1" si="94"/>
        <v/>
      </c>
      <c r="AM64" s="11">
        <f t="shared" ca="1" si="26"/>
        <v>115.83038869257933</v>
      </c>
      <c r="AN64" s="11">
        <f t="shared" ca="1" si="27"/>
        <v>568.63253803500584</v>
      </c>
      <c r="AO64" s="11">
        <f t="shared" ca="1" si="86"/>
        <v>57.046450562294694</v>
      </c>
      <c r="AP64" s="12">
        <f t="shared" ca="1" si="87"/>
        <v>0.11150899518028361</v>
      </c>
      <c r="AQ64" s="11">
        <f t="shared" ca="1" si="30"/>
        <v>488.8127006609447</v>
      </c>
      <c r="AR64" s="11">
        <f t="shared" ca="1" si="88"/>
        <v>59.091974591920689</v>
      </c>
      <c r="AS64" s="12">
        <f t="shared" ca="1" si="89"/>
        <v>0.1375125075592212</v>
      </c>
      <c r="AT64" s="11">
        <f t="shared" ca="1" si="33"/>
        <v>436.76125083608628</v>
      </c>
      <c r="AU64" s="11">
        <f t="shared" ca="1" si="90"/>
        <v>61.112127123966218</v>
      </c>
      <c r="AV64" s="12">
        <f t="shared" ca="1" si="91"/>
        <v>0.16268406676971167</v>
      </c>
      <c r="AW64" s="10">
        <f t="shared" si="36"/>
        <v>44834</v>
      </c>
      <c r="AX64" s="76">
        <f t="shared" ca="1" si="79"/>
        <v>99561.618936857267</v>
      </c>
      <c r="AY64" s="75">
        <f t="shared" ca="1" si="44"/>
        <v>15.987607386289657</v>
      </c>
      <c r="AZ64" s="75">
        <f t="shared" ca="1" si="37"/>
        <v>8.9422806123102436</v>
      </c>
      <c r="BA64" s="75">
        <f t="shared" ca="1" si="80"/>
        <v>7.0453267739794132</v>
      </c>
      <c r="BB64" s="75">
        <f t="shared" ca="1" si="81"/>
        <v>99554.573610083287</v>
      </c>
      <c r="BC64" s="12"/>
      <c r="BD64" s="12"/>
    </row>
    <row r="65" spans="3:56">
      <c r="C65" s="3">
        <f t="shared" si="2"/>
        <v>6</v>
      </c>
      <c r="D65" s="3">
        <f t="shared" si="10"/>
        <v>9</v>
      </c>
      <c r="E65" s="1">
        <f t="shared" si="11"/>
        <v>2024</v>
      </c>
      <c r="F65" s="3">
        <f t="shared" si="3"/>
        <v>62</v>
      </c>
      <c r="G65" s="3">
        <f t="shared" si="12"/>
        <v>61</v>
      </c>
      <c r="H65" s="4">
        <f t="shared" si="69"/>
        <v>173095.83041432247</v>
      </c>
      <c r="L65" s="25" t="str">
        <f t="shared" ca="1" si="5"/>
        <v/>
      </c>
      <c r="M65" s="4">
        <f t="shared" si="6"/>
        <v>173095.83041432247</v>
      </c>
      <c r="N65" s="5">
        <f t="shared" si="83"/>
        <v>2.18E-2</v>
      </c>
      <c r="O65" s="6">
        <f t="shared" si="7"/>
        <v>5.0499999999999996E-2</v>
      </c>
      <c r="P65" s="4">
        <f t="shared" si="0"/>
        <v>728.44495299360699</v>
      </c>
      <c r="Q65" s="7">
        <f t="shared" si="8"/>
        <v>1147.1423660440396</v>
      </c>
      <c r="R65" s="4">
        <f t="shared" si="13"/>
        <v>418.6974130504326</v>
      </c>
      <c r="S65" s="4">
        <f t="shared" si="1"/>
        <v>172677.13300127204</v>
      </c>
      <c r="T65" s="4">
        <f t="shared" si="14"/>
        <v>0</v>
      </c>
      <c r="U65" s="4">
        <f t="shared" si="9"/>
        <v>172677.13300127204</v>
      </c>
      <c r="X65" s="27">
        <f t="shared" si="16"/>
        <v>0</v>
      </c>
      <c r="AE65" s="91" t="str">
        <f t="shared" ca="1" si="50"/>
        <v/>
      </c>
      <c r="AF65" s="70">
        <f t="shared" si="41"/>
        <v>44837</v>
      </c>
      <c r="AG65" s="10">
        <f t="shared" ref="AG65" si="97">AG64+3</f>
        <v>44837</v>
      </c>
      <c r="AH65" s="29">
        <f ca="1">IF(AG65=TODAY()-1,Loan!F35,IF(AG65&gt;$AB$13,$AB$55,AH64-AI65*AF64+AI65*AF65))</f>
        <v>1.1757950530035366E-2</v>
      </c>
      <c r="AI65" s="87">
        <f t="shared" ca="1" si="93"/>
        <v>5.8303886925795103E-5</v>
      </c>
      <c r="AJ65" s="76" t="str">
        <f t="shared" ca="1" si="25"/>
        <v/>
      </c>
      <c r="AK65" s="76" t="str">
        <f t="shared" ca="1" si="42"/>
        <v/>
      </c>
      <c r="AL65" s="76" t="str">
        <f t="shared" ca="1" si="94"/>
        <v/>
      </c>
      <c r="AM65" s="11">
        <f t="shared" ca="1" si="26"/>
        <v>117.57950530035366</v>
      </c>
      <c r="AN65" s="11">
        <f t="shared" ca="1" si="27"/>
        <v>569.5214953917806</v>
      </c>
      <c r="AO65" s="11">
        <f t="shared" ca="1" si="86"/>
        <v>57.935407919069462</v>
      </c>
      <c r="AP65" s="12">
        <f t="shared" ca="1" si="87"/>
        <v>0.11324664477346608</v>
      </c>
      <c r="AQ65" s="11">
        <f t="shared" ca="1" si="30"/>
        <v>489.73878473267365</v>
      </c>
      <c r="AR65" s="11">
        <f t="shared" ca="1" si="88"/>
        <v>60.01805866364964</v>
      </c>
      <c r="AS65" s="12">
        <f t="shared" ca="1" si="89"/>
        <v>0.13966759111825858</v>
      </c>
      <c r="AT65" s="11">
        <f t="shared" ca="1" si="33"/>
        <v>437.72367447677129</v>
      </c>
      <c r="AU65" s="11">
        <f t="shared" ca="1" si="90"/>
        <v>62.074550764651235</v>
      </c>
      <c r="AV65" s="12">
        <f t="shared" ca="1" si="91"/>
        <v>0.16524609494955797</v>
      </c>
      <c r="AW65" s="10">
        <f t="shared" si="36"/>
        <v>44837</v>
      </c>
      <c r="AX65" s="76">
        <f t="shared" ca="1" si="79"/>
        <v>99554.573610083287</v>
      </c>
      <c r="AY65" s="75">
        <f t="shared" ca="1" si="44"/>
        <v>16.018983383815431</v>
      </c>
      <c r="AZ65" s="75">
        <f t="shared" ca="1" si="37"/>
        <v>8.9893553755613418</v>
      </c>
      <c r="BA65" s="75">
        <f t="shared" ca="1" si="80"/>
        <v>7.0296280082540896</v>
      </c>
      <c r="BB65" s="75">
        <f t="shared" ca="1" si="81"/>
        <v>99547.543982075033</v>
      </c>
      <c r="BC65" s="12"/>
      <c r="BD65" s="12"/>
    </row>
    <row r="66" spans="3:56">
      <c r="C66" s="3">
        <f t="shared" si="2"/>
        <v>6</v>
      </c>
      <c r="D66" s="3">
        <f t="shared" si="10"/>
        <v>10</v>
      </c>
      <c r="E66" s="1">
        <f t="shared" si="11"/>
        <v>2024</v>
      </c>
      <c r="F66" s="3">
        <f t="shared" si="3"/>
        <v>62</v>
      </c>
      <c r="G66" s="3">
        <f t="shared" si="12"/>
        <v>62</v>
      </c>
      <c r="H66" s="4">
        <f t="shared" si="69"/>
        <v>172677.13300127204</v>
      </c>
      <c r="L66" s="25" t="str">
        <f t="shared" ca="1" si="5"/>
        <v/>
      </c>
      <c r="M66" s="4">
        <f t="shared" si="6"/>
        <v>172677.13300127204</v>
      </c>
      <c r="N66" s="5">
        <f t="shared" si="83"/>
        <v>2.18E-2</v>
      </c>
      <c r="O66" s="6">
        <f t="shared" si="7"/>
        <v>5.0499999999999996E-2</v>
      </c>
      <c r="P66" s="4">
        <f t="shared" si="0"/>
        <v>726.68293471368645</v>
      </c>
      <c r="Q66" s="7">
        <f t="shared" si="8"/>
        <v>1147.1423660440398</v>
      </c>
      <c r="R66" s="4">
        <f t="shared" si="13"/>
        <v>420.45943133035337</v>
      </c>
      <c r="S66" s="4">
        <f t="shared" si="1"/>
        <v>172256.67356994169</v>
      </c>
      <c r="T66" s="4">
        <f t="shared" si="14"/>
        <v>0</v>
      </c>
      <c r="U66" s="4">
        <f t="shared" si="9"/>
        <v>172256.67356994169</v>
      </c>
      <c r="AE66" s="91" t="str">
        <f t="shared" ca="1" si="50"/>
        <v/>
      </c>
      <c r="AF66" s="70">
        <f t="shared" si="41"/>
        <v>44838</v>
      </c>
      <c r="AG66" s="10">
        <f t="shared" ref="AG66:AG129" si="98">AG65+1</f>
        <v>44838</v>
      </c>
      <c r="AH66" s="29">
        <f ca="1">IF(AG66=TODAY()-1,Loan!F36,IF(AG66&gt;$AB$13,$AB$55,AH65-AI66*AF65+AI66*AF66))</f>
        <v>1.1816254416961325E-2</v>
      </c>
      <c r="AI66" s="87">
        <f t="shared" ca="1" si="93"/>
        <v>5.8303886925794927E-5</v>
      </c>
      <c r="AJ66" s="76" t="str">
        <f t="shared" ca="1" si="25"/>
        <v/>
      </c>
      <c r="AK66" s="76" t="str">
        <f t="shared" ca="1" si="42"/>
        <v/>
      </c>
      <c r="AL66" s="76" t="str">
        <f t="shared" ca="1" si="94"/>
        <v/>
      </c>
      <c r="AM66" s="11">
        <f t="shared" ca="1" si="26"/>
        <v>118.16254416961326</v>
      </c>
      <c r="AN66" s="11">
        <f t="shared" ca="1" si="27"/>
        <v>569.81799466036273</v>
      </c>
      <c r="AO66" s="11">
        <f t="shared" ca="1" si="86"/>
        <v>58.231907187651586</v>
      </c>
      <c r="AP66" s="12">
        <f t="shared" ca="1" si="87"/>
        <v>0.11382621344400375</v>
      </c>
      <c r="AQ66" s="11">
        <f t="shared" ca="1" si="30"/>
        <v>490.04769925772979</v>
      </c>
      <c r="AR66" s="11">
        <f t="shared" ca="1" si="88"/>
        <v>60.326973188705779</v>
      </c>
      <c r="AS66" s="12">
        <f t="shared" ca="1" si="89"/>
        <v>0.14038646387983564</v>
      </c>
      <c r="AT66" s="11">
        <f t="shared" ca="1" si="33"/>
        <v>438.04473855164917</v>
      </c>
      <c r="AU66" s="11">
        <f t="shared" ca="1" si="90"/>
        <v>62.395614839529117</v>
      </c>
      <c r="AV66" s="12">
        <f t="shared" ca="1" si="91"/>
        <v>0.16610078634802353</v>
      </c>
      <c r="AW66" s="10">
        <f t="shared" si="36"/>
        <v>44838</v>
      </c>
      <c r="AX66" s="76">
        <f t="shared" ca="1" si="79"/>
        <v>99547.543982075033</v>
      </c>
      <c r="AY66" s="75">
        <f t="shared" ca="1" si="44"/>
        <v>16.025679251006515</v>
      </c>
      <c r="AZ66" s="75">
        <f t="shared" ca="1" si="37"/>
        <v>9.0046220238242096</v>
      </c>
      <c r="BA66" s="75">
        <f t="shared" ca="1" si="80"/>
        <v>7.0210572271823057</v>
      </c>
      <c r="BB66" s="75">
        <f t="shared" ca="1" si="81"/>
        <v>99540.522924847857</v>
      </c>
      <c r="BC66" s="12"/>
      <c r="BD66" s="12"/>
    </row>
    <row r="67" spans="3:56">
      <c r="C67" s="3">
        <f t="shared" si="2"/>
        <v>6</v>
      </c>
      <c r="D67" s="3">
        <f t="shared" si="10"/>
        <v>11</v>
      </c>
      <c r="E67" s="1">
        <f t="shared" si="11"/>
        <v>2024</v>
      </c>
      <c r="F67" s="3">
        <f t="shared" si="3"/>
        <v>62</v>
      </c>
      <c r="G67" s="3">
        <f t="shared" si="12"/>
        <v>63</v>
      </c>
      <c r="H67" s="4">
        <f t="shared" si="69"/>
        <v>172256.67356994169</v>
      </c>
      <c r="L67" s="25" t="str">
        <f t="shared" ca="1" si="5"/>
        <v/>
      </c>
      <c r="M67" s="4">
        <f t="shared" si="6"/>
        <v>172256.67356994169</v>
      </c>
      <c r="N67" s="5">
        <f t="shared" si="83"/>
        <v>2.18E-2</v>
      </c>
      <c r="O67" s="6">
        <f t="shared" si="7"/>
        <v>5.0499999999999996E-2</v>
      </c>
      <c r="P67" s="4">
        <f t="shared" si="0"/>
        <v>724.91350127350461</v>
      </c>
      <c r="Q67" s="7">
        <f t="shared" si="8"/>
        <v>1147.1423660440398</v>
      </c>
      <c r="R67" s="4">
        <f t="shared" si="13"/>
        <v>422.22886477053521</v>
      </c>
      <c r="S67" s="4">
        <f t="shared" si="1"/>
        <v>171834.44470517116</v>
      </c>
      <c r="T67" s="4">
        <f t="shared" si="14"/>
        <v>0</v>
      </c>
      <c r="U67" s="4">
        <f t="shared" si="9"/>
        <v>171834.44470517116</v>
      </c>
      <c r="AE67" s="91" t="str">
        <f t="shared" ca="1" si="50"/>
        <v/>
      </c>
      <c r="AF67" s="70">
        <f t="shared" si="41"/>
        <v>44839</v>
      </c>
      <c r="AG67" s="10">
        <f t="shared" si="98"/>
        <v>44839</v>
      </c>
      <c r="AH67" s="29">
        <f ca="1">IF(AG67=TODAY()-1,Loan!F37,IF(AG67&gt;$AB$13,$AB$55,AH66-AI67*AF66+AI67*AF67))</f>
        <v>1.1874558303887284E-2</v>
      </c>
      <c r="AI67" s="87">
        <f t="shared" ca="1" si="93"/>
        <v>5.8303886925794317E-5</v>
      </c>
      <c r="AJ67" s="76" t="str">
        <f t="shared" ca="1" si="25"/>
        <v/>
      </c>
      <c r="AK67" s="76" t="str">
        <f t="shared" ca="1" si="42"/>
        <v/>
      </c>
      <c r="AL67" s="76" t="str">
        <f t="shared" ca="1" si="94"/>
        <v/>
      </c>
      <c r="AM67" s="11">
        <f t="shared" ca="1" si="26"/>
        <v>118.74558303887284</v>
      </c>
      <c r="AN67" s="11">
        <f t="shared" ca="1" si="27"/>
        <v>570.11458397987542</v>
      </c>
      <c r="AO67" s="11">
        <f t="shared" ca="1" si="86"/>
        <v>58.528496507164277</v>
      </c>
      <c r="AP67" s="12">
        <f t="shared" ca="1" si="87"/>
        <v>0.11440595813756621</v>
      </c>
      <c r="AQ67" s="11">
        <f t="shared" ca="1" si="30"/>
        <v>490.35672365542422</v>
      </c>
      <c r="AR67" s="11">
        <f t="shared" ca="1" si="88"/>
        <v>60.635997586400208</v>
      </c>
      <c r="AS67" s="12">
        <f t="shared" ca="1" si="89"/>
        <v>0.1411055923252362</v>
      </c>
      <c r="AT67" s="11">
        <f t="shared" ca="1" si="33"/>
        <v>438.3659306501001</v>
      </c>
      <c r="AU67" s="11">
        <f t="shared" ca="1" si="90"/>
        <v>62.716806937980039</v>
      </c>
      <c r="AV67" s="12">
        <f t="shared" ca="1" si="91"/>
        <v>0.16695581855274944</v>
      </c>
      <c r="AW67" s="10">
        <f t="shared" si="36"/>
        <v>44839</v>
      </c>
      <c r="AX67" s="76">
        <f t="shared" ca="1" si="79"/>
        <v>99540.522924847857</v>
      </c>
      <c r="AY67" s="75">
        <f t="shared" ca="1" si="44"/>
        <v>16.034640283843427</v>
      </c>
      <c r="AZ67" s="75">
        <f t="shared" ca="1" si="37"/>
        <v>9.0198872029515336</v>
      </c>
      <c r="BA67" s="75">
        <f t="shared" ca="1" si="80"/>
        <v>7.014753080891893</v>
      </c>
      <c r="BB67" s="75">
        <f t="shared" ca="1" si="81"/>
        <v>99533.508171766967</v>
      </c>
      <c r="BC67" s="12"/>
      <c r="BD67" s="12"/>
    </row>
    <row r="68" spans="3:56">
      <c r="C68" s="3">
        <f t="shared" si="2"/>
        <v>6</v>
      </c>
      <c r="D68" s="3">
        <f t="shared" si="10"/>
        <v>12</v>
      </c>
      <c r="E68" s="1">
        <f t="shared" si="11"/>
        <v>2024</v>
      </c>
      <c r="F68" s="3">
        <f t="shared" si="3"/>
        <v>62</v>
      </c>
      <c r="G68" s="3">
        <f t="shared" si="12"/>
        <v>64</v>
      </c>
      <c r="H68" s="4">
        <f t="shared" si="69"/>
        <v>171834.44470517116</v>
      </c>
      <c r="L68" s="25" t="str">
        <f t="shared" ca="1" si="5"/>
        <v/>
      </c>
      <c r="M68" s="4">
        <f t="shared" si="6"/>
        <v>171834.44470517116</v>
      </c>
      <c r="N68" s="5">
        <f t="shared" si="83"/>
        <v>2.18E-2</v>
      </c>
      <c r="O68" s="6">
        <f t="shared" si="7"/>
        <v>5.0499999999999996E-2</v>
      </c>
      <c r="P68" s="4">
        <f t="shared" si="0"/>
        <v>723.13662146759532</v>
      </c>
      <c r="Q68" s="7">
        <f t="shared" si="8"/>
        <v>1147.14236604404</v>
      </c>
      <c r="R68" s="4">
        <f t="shared" si="13"/>
        <v>424.00574457644473</v>
      </c>
      <c r="S68" s="4">
        <f t="shared" si="1"/>
        <v>171410.43896059471</v>
      </c>
      <c r="T68" s="4">
        <f t="shared" si="14"/>
        <v>0</v>
      </c>
      <c r="U68" s="4">
        <f t="shared" si="9"/>
        <v>171410.43896059471</v>
      </c>
      <c r="AE68" s="91" t="str">
        <f t="shared" ca="1" si="50"/>
        <v/>
      </c>
      <c r="AF68" s="70">
        <f t="shared" si="41"/>
        <v>44840</v>
      </c>
      <c r="AG68" s="10">
        <f t="shared" si="98"/>
        <v>44840</v>
      </c>
      <c r="AH68" s="29">
        <f ca="1">IF(AG68=TODAY()-1,Loan!F38,IF(AG68&gt;$AB$13,$AB$55,AH67-AI68*AF67+AI68*AF68))</f>
        <v>1.1932862190812799E-2</v>
      </c>
      <c r="AI68" s="87">
        <f t="shared" ca="1" si="93"/>
        <v>5.8303886925793707E-5</v>
      </c>
      <c r="AJ68" s="76" t="str">
        <f t="shared" ca="1" si="25"/>
        <v/>
      </c>
      <c r="AK68" s="76" t="str">
        <f t="shared" ca="1" si="42"/>
        <v/>
      </c>
      <c r="AL68" s="76" t="str">
        <f t="shared" ca="1" si="94"/>
        <v/>
      </c>
      <c r="AM68" s="11">
        <f t="shared" ca="1" si="26"/>
        <v>119.32862190812799</v>
      </c>
      <c r="AN68" s="11">
        <f t="shared" ca="1" si="27"/>
        <v>570.41126333599857</v>
      </c>
      <c r="AO68" s="11">
        <f t="shared" ca="1" si="86"/>
        <v>58.825175863287427</v>
      </c>
      <c r="AP68" s="12">
        <f t="shared" ca="1" si="87"/>
        <v>0.1149858788261619</v>
      </c>
      <c r="AQ68" s="11">
        <f t="shared" ca="1" si="30"/>
        <v>490.66585789897829</v>
      </c>
      <c r="AR68" s="11">
        <f t="shared" ca="1" si="88"/>
        <v>60.945131829954278</v>
      </c>
      <c r="AS68" s="12">
        <f t="shared" ca="1" si="89"/>
        <v>0.14182497639214392</v>
      </c>
      <c r="AT68" s="11">
        <f t="shared" ca="1" si="33"/>
        <v>438.68725072781717</v>
      </c>
      <c r="AU68" s="11">
        <f t="shared" ca="1" si="90"/>
        <v>63.038127015697114</v>
      </c>
      <c r="AV68" s="12">
        <f t="shared" ca="1" si="91"/>
        <v>0.1678111914457881</v>
      </c>
      <c r="AW68" s="10">
        <f t="shared" si="36"/>
        <v>44840</v>
      </c>
      <c r="AX68" s="76">
        <f t="shared" ca="1" si="79"/>
        <v>99533.508171766967</v>
      </c>
      <c r="AY68" s="75">
        <f t="shared" ca="1" si="44"/>
        <v>16.043604517195803</v>
      </c>
      <c r="AZ68" s="75">
        <f t="shared" ca="1" si="37"/>
        <v>9.0351507112966978</v>
      </c>
      <c r="BA68" s="75">
        <f t="shared" ca="1" si="80"/>
        <v>7.008453805899105</v>
      </c>
      <c r="BB68" s="75">
        <f t="shared" ca="1" si="81"/>
        <v>99526.499717961065</v>
      </c>
      <c r="BC68" s="12"/>
      <c r="BD68" s="12"/>
    </row>
    <row r="69" spans="3:56">
      <c r="C69" s="3">
        <f t="shared" si="2"/>
        <v>6</v>
      </c>
      <c r="D69" s="3">
        <f t="shared" si="10"/>
        <v>1</v>
      </c>
      <c r="E69" s="1">
        <f t="shared" si="11"/>
        <v>2025</v>
      </c>
      <c r="F69" s="3">
        <f t="shared" si="3"/>
        <v>62</v>
      </c>
      <c r="G69" s="3">
        <f t="shared" si="12"/>
        <v>65</v>
      </c>
      <c r="H69" s="4">
        <f t="shared" si="69"/>
        <v>171410.43896059471</v>
      </c>
      <c r="L69" s="25" t="str">
        <f t="shared" ca="1" si="5"/>
        <v/>
      </c>
      <c r="M69" s="4">
        <f t="shared" si="6"/>
        <v>171410.43896059471</v>
      </c>
      <c r="N69" s="5">
        <f t="shared" si="83"/>
        <v>2.18E-2</v>
      </c>
      <c r="O69" s="6">
        <f t="shared" si="7"/>
        <v>5.0499999999999996E-2</v>
      </c>
      <c r="P69" s="4">
        <f t="shared" ref="P69:P132" si="99">M69*O69/12</f>
        <v>721.35226395916936</v>
      </c>
      <c r="Q69" s="7">
        <f t="shared" si="8"/>
        <v>1147.1423660440398</v>
      </c>
      <c r="R69" s="4">
        <f t="shared" si="13"/>
        <v>425.79010208487045</v>
      </c>
      <c r="S69" s="4">
        <f t="shared" ref="S69:S132" si="100">M69-R69</f>
        <v>170984.64885850984</v>
      </c>
      <c r="T69" s="4">
        <f t="shared" si="14"/>
        <v>0</v>
      </c>
      <c r="U69" s="4">
        <f t="shared" si="9"/>
        <v>170984.64885850984</v>
      </c>
      <c r="AE69" s="91" t="str">
        <f t="shared" ca="1" si="50"/>
        <v/>
      </c>
      <c r="AF69" s="70">
        <f t="shared" si="41"/>
        <v>44841</v>
      </c>
      <c r="AG69" s="10">
        <f t="shared" si="98"/>
        <v>44841</v>
      </c>
      <c r="AH69" s="29">
        <f ca="1">IF(AG69=TODAY()-1,Loan!F39,IF(AG69&gt;$AB$13,$AB$55,AH68-AI69*AF68+AI69*AF69))</f>
        <v>1.1991166077738313E-2</v>
      </c>
      <c r="AI69" s="87">
        <f t="shared" ca="1" si="93"/>
        <v>5.8303886925794751E-5</v>
      </c>
      <c r="AJ69" s="76" t="str">
        <f t="shared" ca="1" si="25"/>
        <v/>
      </c>
      <c r="AK69" s="76" t="str">
        <f t="shared" ca="1" si="42"/>
        <v/>
      </c>
      <c r="AL69" s="76" t="str">
        <f t="shared" ca="1" si="94"/>
        <v/>
      </c>
      <c r="AM69" s="11">
        <f t="shared" ca="1" si="26"/>
        <v>119.91166077738313</v>
      </c>
      <c r="AN69" s="11">
        <f t="shared" ca="1" si="27"/>
        <v>570.70803271428827</v>
      </c>
      <c r="AO69" s="11">
        <f t="shared" ca="1" si="86"/>
        <v>59.121945241577123</v>
      </c>
      <c r="AP69" s="12">
        <f t="shared" ca="1" si="87"/>
        <v>0.11556597548155723</v>
      </c>
      <c r="AQ69" s="11">
        <f t="shared" ca="1" si="30"/>
        <v>490.97510196149608</v>
      </c>
      <c r="AR69" s="11">
        <f t="shared" ca="1" si="88"/>
        <v>61.254375892472069</v>
      </c>
      <c r="AS69" s="12">
        <f t="shared" ca="1" si="89"/>
        <v>0.14254461601796947</v>
      </c>
      <c r="AT69" s="11">
        <f t="shared" ca="1" si="33"/>
        <v>439.0086987403721</v>
      </c>
      <c r="AU69" s="11">
        <f t="shared" ca="1" si="90"/>
        <v>63.359575028252038</v>
      </c>
      <c r="AV69" s="12">
        <f t="shared" ca="1" si="91"/>
        <v>0.16866690490886879</v>
      </c>
      <c r="AW69" s="10">
        <f t="shared" si="36"/>
        <v>44841</v>
      </c>
      <c r="AX69" s="76">
        <f t="shared" ca="1" si="79"/>
        <v>99526.499717961065</v>
      </c>
      <c r="AY69" s="75">
        <f t="shared" ca="1" si="44"/>
        <v>16.052571950582937</v>
      </c>
      <c r="AZ69" s="75">
        <f t="shared" ca="1" si="37"/>
        <v>9.0504125514378675</v>
      </c>
      <c r="BA69" s="75">
        <f t="shared" ca="1" si="80"/>
        <v>7.0021593991450697</v>
      </c>
      <c r="BB69" s="75">
        <f t="shared" ca="1" si="81"/>
        <v>99519.497558561925</v>
      </c>
      <c r="BC69" s="12"/>
      <c r="BD69" s="12"/>
    </row>
    <row r="70" spans="3:56">
      <c r="C70" s="3">
        <f t="shared" ref="C70:C133" si="101">IF(G70/12=INT(G70/12),INT(G70/12),INT(G70/12)+1)</f>
        <v>6</v>
      </c>
      <c r="D70" s="3">
        <f t="shared" si="10"/>
        <v>2</v>
      </c>
      <c r="E70" s="1">
        <f t="shared" si="11"/>
        <v>2025</v>
      </c>
      <c r="F70" s="3">
        <f t="shared" ref="F70:F133" si="102">ROUND(((E70-1962)*12+D70-8)/12,0)</f>
        <v>63</v>
      </c>
      <c r="G70" s="3">
        <f t="shared" si="12"/>
        <v>66</v>
      </c>
      <c r="H70" s="4">
        <f t="shared" ref="H70:H101" si="103">IF(C70&gt;$B$6,0,S69)</f>
        <v>170984.64885850984</v>
      </c>
      <c r="L70" s="25" t="str">
        <f t="shared" ref="L70:L133" ca="1" si="104">IF(AND(YEAR(TODAY())=E70,MONTH(TODAY())=D70),"current","")</f>
        <v/>
      </c>
      <c r="M70" s="4">
        <f t="shared" ref="M70:M133" si="105">H70-I70-J70-K70</f>
        <v>170984.64885850984</v>
      </c>
      <c r="N70" s="5">
        <f t="shared" si="83"/>
        <v>2.18E-2</v>
      </c>
      <c r="O70" s="6">
        <f t="shared" ref="O70:O133" si="106">N70+$B$22+$B$23</f>
        <v>5.0499999999999996E-2</v>
      </c>
      <c r="P70" s="4">
        <f t="shared" si="99"/>
        <v>719.56039727956215</v>
      </c>
      <c r="Q70" s="7">
        <f t="shared" ref="Q70:Q133" si="107">IF(C70&gt;$B$6,0,(M70/((1-(1+O70/12)^-($B$6*12-G70+1))/(O70/12))))</f>
        <v>1147.14236604404</v>
      </c>
      <c r="R70" s="4">
        <f t="shared" si="13"/>
        <v>427.58196876447789</v>
      </c>
      <c r="S70" s="4">
        <f t="shared" si="100"/>
        <v>170557.06688974536</v>
      </c>
      <c r="T70" s="4">
        <f t="shared" si="14"/>
        <v>0</v>
      </c>
      <c r="U70" s="4">
        <f t="shared" ref="U70:U133" si="108">T70+S70</f>
        <v>170557.06688974536</v>
      </c>
      <c r="AE70" s="91" t="str">
        <f t="shared" ca="1" si="50"/>
        <v/>
      </c>
      <c r="AF70" s="70">
        <f t="shared" si="41"/>
        <v>44844</v>
      </c>
      <c r="AG70" s="10">
        <f t="shared" ref="AG70" si="109">AG69+3</f>
        <v>44844</v>
      </c>
      <c r="AH70" s="29">
        <f ca="1">IF(AG70=TODAY()-1,Loan!F40,IF(AG70&gt;$AB$13,$AB$55,AH69-AI70*AF69+AI70*AF70))</f>
        <v>1.2166077738515746E-2</v>
      </c>
      <c r="AI70" s="87">
        <f t="shared" ca="1" si="93"/>
        <v>5.8303886925795801E-5</v>
      </c>
      <c r="AJ70" s="76" t="str">
        <f t="shared" ca="1" si="25"/>
        <v/>
      </c>
      <c r="AK70" s="76" t="str">
        <f t="shared" ca="1" si="42"/>
        <v/>
      </c>
      <c r="AL70" s="76" t="str">
        <f t="shared" ca="1" si="94"/>
        <v/>
      </c>
      <c r="AM70" s="11">
        <f t="shared" ca="1" si="26"/>
        <v>121.66077738515746</v>
      </c>
      <c r="AN70" s="11">
        <f t="shared" ca="1" si="27"/>
        <v>571.59888083821693</v>
      </c>
      <c r="AO70" s="11">
        <f t="shared" ca="1" si="86"/>
        <v>60.012793365505786</v>
      </c>
      <c r="AP70" s="12">
        <f t="shared" ca="1" si="87"/>
        <v>0.11730732096718124</v>
      </c>
      <c r="AQ70" s="11">
        <f t="shared" ca="1" si="30"/>
        <v>491.90349279394218</v>
      </c>
      <c r="AR70" s="11">
        <f t="shared" ca="1" si="88"/>
        <v>62.182766724918167</v>
      </c>
      <c r="AS70" s="12">
        <f t="shared" ca="1" si="89"/>
        <v>0.14470506762322197</v>
      </c>
      <c r="AT70" s="11">
        <f t="shared" ca="1" si="33"/>
        <v>439.97380994242593</v>
      </c>
      <c r="AU70" s="11">
        <f t="shared" ca="1" si="90"/>
        <v>64.324686230305872</v>
      </c>
      <c r="AV70" s="12">
        <f t="shared" ca="1" si="91"/>
        <v>0.17123608753471048</v>
      </c>
      <c r="AW70" s="10">
        <f t="shared" si="36"/>
        <v>44844</v>
      </c>
      <c r="AX70" s="76">
        <f t="shared" ca="1" si="79"/>
        <v>99519.497558561925</v>
      </c>
      <c r="AY70" s="75">
        <f t="shared" ca="1" si="44"/>
        <v>16.084011069430446</v>
      </c>
      <c r="AZ70" s="75">
        <f t="shared" ca="1" si="37"/>
        <v>9.0974665535260417</v>
      </c>
      <c r="BA70" s="75">
        <f t="shared" ca="1" si="80"/>
        <v>6.986544515904404</v>
      </c>
      <c r="BB70" s="75">
        <f t="shared" ca="1" si="81"/>
        <v>99512.511014046016</v>
      </c>
      <c r="BC70" s="12"/>
      <c r="BD70" s="12"/>
    </row>
    <row r="71" spans="3:56">
      <c r="C71" s="3">
        <f t="shared" si="101"/>
        <v>6</v>
      </c>
      <c r="D71" s="3">
        <f t="shared" ref="D71:D134" si="110">IF(D70+1&gt;12,1,D70+1)</f>
        <v>3</v>
      </c>
      <c r="E71" s="1">
        <f t="shared" ref="E71:E134" si="111">IF(D71=1,E70+1,E70)</f>
        <v>2025</v>
      </c>
      <c r="F71" s="3">
        <f t="shared" si="102"/>
        <v>63</v>
      </c>
      <c r="G71" s="3">
        <f t="shared" ref="G71:G134" si="112">G70+1</f>
        <v>67</v>
      </c>
      <c r="H71" s="4">
        <f t="shared" si="103"/>
        <v>170557.06688974536</v>
      </c>
      <c r="L71" s="25" t="str">
        <f t="shared" ca="1" si="104"/>
        <v/>
      </c>
      <c r="M71" s="4">
        <f t="shared" si="105"/>
        <v>170557.06688974536</v>
      </c>
      <c r="N71" s="5">
        <f t="shared" si="83"/>
        <v>2.18E-2</v>
      </c>
      <c r="O71" s="6">
        <f t="shared" si="106"/>
        <v>5.0499999999999996E-2</v>
      </c>
      <c r="P71" s="4">
        <f t="shared" si="99"/>
        <v>717.76098982767826</v>
      </c>
      <c r="Q71" s="7">
        <f t="shared" si="107"/>
        <v>1147.14236604404</v>
      </c>
      <c r="R71" s="4">
        <f t="shared" ref="R71:R134" si="113">Q71-P71</f>
        <v>429.38137621636179</v>
      </c>
      <c r="S71" s="4">
        <f t="shared" si="100"/>
        <v>170127.685513529</v>
      </c>
      <c r="T71" s="4">
        <f t="shared" ref="T71:T134" si="114">T70</f>
        <v>0</v>
      </c>
      <c r="U71" s="4">
        <f t="shared" si="108"/>
        <v>170127.685513529</v>
      </c>
      <c r="AE71" s="91" t="str">
        <f t="shared" ca="1" si="50"/>
        <v/>
      </c>
      <c r="AF71" s="70">
        <f t="shared" si="41"/>
        <v>44845</v>
      </c>
      <c r="AG71" s="10">
        <f t="shared" ref="AG71" si="115">AG70+1</f>
        <v>44845</v>
      </c>
      <c r="AH71" s="29">
        <f ca="1">IF(AG71=TODAY()-1,Loan!F41,IF(AG71&gt;$AB$13,$AB$55,AH70-AI71*AF70+AI71*AF71))</f>
        <v>1.2224381625441705E-2</v>
      </c>
      <c r="AI71" s="87">
        <f t="shared" ca="1" si="93"/>
        <v>5.8303886925795632E-5</v>
      </c>
      <c r="AJ71" s="76" t="str">
        <f t="shared" ca="1" si="25"/>
        <v/>
      </c>
      <c r="AK71" s="76" t="str">
        <f t="shared" ca="1" si="42"/>
        <v/>
      </c>
      <c r="AL71" s="76" t="str">
        <f t="shared" ca="1" si="94"/>
        <v/>
      </c>
      <c r="AM71" s="11">
        <f t="shared" ca="1" si="26"/>
        <v>122.24381625441706</v>
      </c>
      <c r="AN71" s="11">
        <f t="shared" ca="1" si="27"/>
        <v>571.89601016104439</v>
      </c>
      <c r="AO71" s="11">
        <f t="shared" ca="1" si="86"/>
        <v>60.309922688333245</v>
      </c>
      <c r="AP71" s="12">
        <f t="shared" ca="1" si="87"/>
        <v>0.1178881212080465</v>
      </c>
      <c r="AQ71" s="11">
        <f t="shared" ca="1" si="30"/>
        <v>492.21317586317144</v>
      </c>
      <c r="AR71" s="11">
        <f t="shared" ca="1" si="88"/>
        <v>62.492449794147433</v>
      </c>
      <c r="AS71" s="12">
        <f t="shared" ca="1" si="89"/>
        <v>0.14542572885839714</v>
      </c>
      <c r="AT71" s="11">
        <f t="shared" ca="1" si="33"/>
        <v>440.29576924935208</v>
      </c>
      <c r="AU71" s="11">
        <f t="shared" ca="1" si="90"/>
        <v>64.646645537232018</v>
      </c>
      <c r="AV71" s="12">
        <f t="shared" ca="1" si="91"/>
        <v>0.17209316209339592</v>
      </c>
      <c r="AW71" s="10">
        <f t="shared" si="36"/>
        <v>44845</v>
      </c>
      <c r="AX71" s="76">
        <f t="shared" ca="1" si="79"/>
        <v>99512.511014046016</v>
      </c>
      <c r="AY71" s="75">
        <f t="shared" ca="1" si="44"/>
        <v>16.090734537447354</v>
      </c>
      <c r="AZ71" s="75">
        <f t="shared" ca="1" si="37"/>
        <v>9.1127236839436847</v>
      </c>
      <c r="BA71" s="75">
        <f t="shared" ca="1" si="80"/>
        <v>6.9780108535036689</v>
      </c>
      <c r="BB71" s="75">
        <f t="shared" ca="1" si="81"/>
        <v>99505.533003192511</v>
      </c>
      <c r="BC71" s="12"/>
      <c r="BD71" s="12"/>
    </row>
    <row r="72" spans="3:56">
      <c r="C72" s="3">
        <f t="shared" si="101"/>
        <v>6</v>
      </c>
      <c r="D72" s="3">
        <f t="shared" si="110"/>
        <v>4</v>
      </c>
      <c r="E72" s="1">
        <f t="shared" si="111"/>
        <v>2025</v>
      </c>
      <c r="F72" s="3">
        <f t="shared" si="102"/>
        <v>63</v>
      </c>
      <c r="G72" s="3">
        <f t="shared" si="112"/>
        <v>68</v>
      </c>
      <c r="H72" s="4">
        <f t="shared" si="103"/>
        <v>170127.685513529</v>
      </c>
      <c r="L72" s="25" t="str">
        <f t="shared" ca="1" si="104"/>
        <v/>
      </c>
      <c r="M72" s="4">
        <f t="shared" si="105"/>
        <v>170127.685513529</v>
      </c>
      <c r="N72" s="5">
        <f t="shared" si="83"/>
        <v>2.18E-2</v>
      </c>
      <c r="O72" s="6">
        <f t="shared" si="106"/>
        <v>5.0499999999999996E-2</v>
      </c>
      <c r="P72" s="4">
        <f t="shared" si="99"/>
        <v>715.95400986943457</v>
      </c>
      <c r="Q72" s="7">
        <f t="shared" si="107"/>
        <v>1147.14236604404</v>
      </c>
      <c r="R72" s="4">
        <f t="shared" si="113"/>
        <v>431.18835617460547</v>
      </c>
      <c r="S72" s="4">
        <f t="shared" si="100"/>
        <v>169696.4971573544</v>
      </c>
      <c r="T72" s="4">
        <f t="shared" si="114"/>
        <v>0</v>
      </c>
      <c r="U72" s="4">
        <f t="shared" si="108"/>
        <v>169696.4971573544</v>
      </c>
      <c r="AE72" s="91" t="str">
        <f t="shared" ca="1" si="50"/>
        <v/>
      </c>
      <c r="AF72" s="70">
        <f t="shared" si="41"/>
        <v>44846</v>
      </c>
      <c r="AG72" s="10">
        <f t="shared" si="98"/>
        <v>44846</v>
      </c>
      <c r="AH72" s="29">
        <f ca="1">IF(AG72=TODAY()-1,Loan!F42,IF(AG72&gt;$AB$13,$AB$55,AH71-AI72*AF71+AI72*AF72))</f>
        <v>1.228268551236722E-2</v>
      </c>
      <c r="AI72" s="87">
        <f t="shared" ca="1" si="93"/>
        <v>5.8303886925795008E-5</v>
      </c>
      <c r="AJ72" s="76" t="str">
        <f t="shared" ref="AJ72:AJ135" ca="1" si="116">IF(TODAY()&gt;=AG72,10000*AH72,"")</f>
        <v/>
      </c>
      <c r="AK72" s="76" t="str">
        <f t="shared" ca="1" si="42"/>
        <v/>
      </c>
      <c r="AL72" s="76" t="str">
        <f t="shared" ca="1" si="94"/>
        <v/>
      </c>
      <c r="AM72" s="11">
        <f t="shared" ref="AM72:AM135" ca="1" si="117">10000*(AH72-AH$7)</f>
        <v>122.8268551236722</v>
      </c>
      <c r="AN72" s="11">
        <f t="shared" ref="AN72:AN135" ca="1" si="118">100000/((1-(1+($AH72+$AH$3+$AH$2)/12)^-(AN$5*12))/(($AH72+$AH$3+$AH$2)/12))</f>
        <v>572.19322943380746</v>
      </c>
      <c r="AO72" s="11">
        <f t="shared" ca="1" si="86"/>
        <v>60.607141961096318</v>
      </c>
      <c r="AP72" s="12">
        <f t="shared" ca="1" si="87"/>
        <v>0.11846909727452118</v>
      </c>
      <c r="AQ72" s="11">
        <f t="shared" ref="AQ72:AQ135" ca="1" si="119">100000/((1-(1+($AH72+$AH$3+$AH$2)/12)^-(AQ$5*12))/(($AH72+$AH$3+$AH$2)/12))</f>
        <v>492.52296861655554</v>
      </c>
      <c r="AR72" s="11">
        <f t="shared" ca="1" si="88"/>
        <v>62.802242547531534</v>
      </c>
      <c r="AS72" s="12">
        <f t="shared" ca="1" si="89"/>
        <v>0.14614664533877733</v>
      </c>
      <c r="AT72" s="11">
        <f t="shared" ref="AT72:AT135" ca="1" si="120">100000/((1-(1+($AH72+$AH$3+$AH$2)/12)^-(AT$5*12))/(($AH72+$AH$3+$AH$2)/12))</f>
        <v>440.61785626829732</v>
      </c>
      <c r="AU72" s="11">
        <f t="shared" ca="1" si="90"/>
        <v>64.968732556177258</v>
      </c>
      <c r="AV72" s="12">
        <f t="shared" ca="1" si="91"/>
        <v>0.17295057662896682</v>
      </c>
      <c r="AW72" s="10">
        <f t="shared" ref="AW72:AW135" si="121">AG72</f>
        <v>44846</v>
      </c>
      <c r="AX72" s="76">
        <f t="shared" ca="1" si="79"/>
        <v>99505.533003192511</v>
      </c>
      <c r="AY72" s="75">
        <f t="shared" ca="1" si="44"/>
        <v>16.099719226058191</v>
      </c>
      <c r="AZ72" s="75">
        <f t="shared" ref="AZ72:AZ135" ca="1" si="122">AX72*(AH72+$AB$10+$AH$2)/365</f>
        <v>9.1279793651681427</v>
      </c>
      <c r="BA72" s="75">
        <f t="shared" ca="1" si="80"/>
        <v>6.9717398608900485</v>
      </c>
      <c r="BB72" s="75">
        <f t="shared" ca="1" si="81"/>
        <v>99498.56126333162</v>
      </c>
      <c r="BC72" s="12"/>
      <c r="BD72" s="12"/>
    </row>
    <row r="73" spans="3:56">
      <c r="C73" s="3">
        <f t="shared" si="101"/>
        <v>6</v>
      </c>
      <c r="D73" s="3">
        <f t="shared" si="110"/>
        <v>5</v>
      </c>
      <c r="E73" s="1">
        <f t="shared" si="111"/>
        <v>2025</v>
      </c>
      <c r="F73" s="3">
        <f t="shared" si="102"/>
        <v>63</v>
      </c>
      <c r="G73" s="3">
        <f t="shared" si="112"/>
        <v>69</v>
      </c>
      <c r="H73" s="4">
        <f t="shared" si="103"/>
        <v>169696.4971573544</v>
      </c>
      <c r="L73" s="25" t="str">
        <f t="shared" ca="1" si="104"/>
        <v/>
      </c>
      <c r="M73" s="4">
        <f t="shared" si="105"/>
        <v>169696.4971573544</v>
      </c>
      <c r="N73" s="5">
        <f t="shared" si="83"/>
        <v>2.18E-2</v>
      </c>
      <c r="O73" s="6">
        <f t="shared" si="106"/>
        <v>5.0499999999999996E-2</v>
      </c>
      <c r="P73" s="4">
        <f t="shared" si="99"/>
        <v>714.13942553719971</v>
      </c>
      <c r="Q73" s="7">
        <f t="shared" si="107"/>
        <v>1147.1423660440403</v>
      </c>
      <c r="R73" s="4">
        <f t="shared" si="113"/>
        <v>433.00294050684056</v>
      </c>
      <c r="S73" s="4">
        <f t="shared" si="100"/>
        <v>169263.49421684755</v>
      </c>
      <c r="T73" s="4">
        <f t="shared" si="114"/>
        <v>0</v>
      </c>
      <c r="U73" s="4">
        <f t="shared" si="108"/>
        <v>169263.49421684755</v>
      </c>
      <c r="AE73" s="91" t="str">
        <f t="shared" ca="1" si="50"/>
        <v/>
      </c>
      <c r="AF73" s="70">
        <f t="shared" ref="AF73:AF136" si="123">AG73</f>
        <v>44847</v>
      </c>
      <c r="AG73" s="10">
        <f t="shared" si="98"/>
        <v>44847</v>
      </c>
      <c r="AH73" s="29">
        <f ca="1">IF(AG73=TODAY()-1,Loan!F43,IF(AG73&gt;$AB$13,$AB$55,AH72-AI73*AF72+AI73*AF73))</f>
        <v>1.2340989399293179E-2</v>
      </c>
      <c r="AI73" s="87">
        <f t="shared" ca="1" si="93"/>
        <v>5.8303886925796079E-5</v>
      </c>
      <c r="AJ73" s="76" t="str">
        <f t="shared" ca="1" si="116"/>
        <v/>
      </c>
      <c r="AK73" s="76" t="str">
        <f t="shared" ref="AK73:AK136" ca="1" si="124">IF(AJ73&lt;&gt;"",AJ73-AJ72,"")</f>
        <v/>
      </c>
      <c r="AL73" s="76" t="str">
        <f t="shared" ca="1" si="94"/>
        <v/>
      </c>
      <c r="AM73" s="11">
        <f t="shared" ca="1" si="117"/>
        <v>123.40989399293179</v>
      </c>
      <c r="AN73" s="11">
        <f t="shared" ca="1" si="118"/>
        <v>572.49053864202813</v>
      </c>
      <c r="AO73" s="11">
        <f t="shared" ca="1" si="86"/>
        <v>60.904451169316985</v>
      </c>
      <c r="AP73" s="12">
        <f t="shared" ca="1" si="87"/>
        <v>0.11905024913830506</v>
      </c>
      <c r="AQ73" s="11">
        <f t="shared" ca="1" si="119"/>
        <v>492.83287102704605</v>
      </c>
      <c r="AR73" s="11">
        <f t="shared" ca="1" si="88"/>
        <v>63.112144958022043</v>
      </c>
      <c r="AS73" s="12">
        <f t="shared" ca="1" si="89"/>
        <v>0.14686781700141835</v>
      </c>
      <c r="AT73" s="11">
        <f t="shared" ca="1" si="120"/>
        <v>440.94007095454765</v>
      </c>
      <c r="AU73" s="11">
        <f t="shared" ca="1" si="90"/>
        <v>65.290947242427592</v>
      </c>
      <c r="AV73" s="12">
        <f t="shared" ca="1" si="91"/>
        <v>0.17380833102239185</v>
      </c>
      <c r="AW73" s="10">
        <f t="shared" si="121"/>
        <v>44847</v>
      </c>
      <c r="AX73" s="76">
        <f t="shared" ca="1" si="79"/>
        <v>99498.56126333162</v>
      </c>
      <c r="AY73" s="75">
        <f t="shared" ref="AY73:AY136" ca="1" si="125">AX73/((1-(1+(AH73+$AB$10+$AH$2)/365)^-($AB$9*365-(AG73-AG72)))/((AH73+$AB$10+$AH$2)/365))</f>
        <v>16.108707112216845</v>
      </c>
      <c r="AZ73" s="75">
        <f t="shared" ca="1" si="122"/>
        <v>9.1432333933652856</v>
      </c>
      <c r="BA73" s="75">
        <f t="shared" ca="1" si="80"/>
        <v>6.965473718851559</v>
      </c>
      <c r="BB73" s="75">
        <f t="shared" ca="1" si="81"/>
        <v>99491.595789612766</v>
      </c>
      <c r="BC73" s="12"/>
      <c r="BD73" s="12"/>
    </row>
    <row r="74" spans="3:56">
      <c r="C74" s="3">
        <f t="shared" si="101"/>
        <v>6</v>
      </c>
      <c r="D74" s="3">
        <f t="shared" si="110"/>
        <v>6</v>
      </c>
      <c r="E74" s="1">
        <f t="shared" si="111"/>
        <v>2025</v>
      </c>
      <c r="F74" s="3">
        <f t="shared" si="102"/>
        <v>63</v>
      </c>
      <c r="G74" s="3">
        <f t="shared" si="112"/>
        <v>70</v>
      </c>
      <c r="H74" s="4">
        <f t="shared" si="103"/>
        <v>169263.49421684755</v>
      </c>
      <c r="L74" s="25" t="str">
        <f t="shared" ca="1" si="104"/>
        <v/>
      </c>
      <c r="M74" s="4">
        <f t="shared" si="105"/>
        <v>169263.49421684755</v>
      </c>
      <c r="N74" s="5">
        <f t="shared" si="83"/>
        <v>2.18E-2</v>
      </c>
      <c r="O74" s="6">
        <f t="shared" si="106"/>
        <v>5.0499999999999996E-2</v>
      </c>
      <c r="P74" s="4">
        <f t="shared" si="99"/>
        <v>712.31720482923345</v>
      </c>
      <c r="Q74" s="7">
        <f t="shared" si="107"/>
        <v>1147.14236604404</v>
      </c>
      <c r="R74" s="4">
        <f t="shared" si="113"/>
        <v>434.8251612148066</v>
      </c>
      <c r="S74" s="4">
        <f t="shared" si="100"/>
        <v>168828.66905563275</v>
      </c>
      <c r="T74" s="4">
        <f t="shared" si="114"/>
        <v>0</v>
      </c>
      <c r="U74" s="4">
        <f t="shared" si="108"/>
        <v>168828.66905563275</v>
      </c>
      <c r="AE74" s="91" t="str">
        <f t="shared" ref="AE74:AE137" ca="1" si="126">IF(AG74=TODAY(),"today",IF(AG74=TODAY()-1,"last available",""))</f>
        <v/>
      </c>
      <c r="AF74" s="70">
        <f t="shared" si="123"/>
        <v>44848</v>
      </c>
      <c r="AG74" s="10">
        <f t="shared" si="98"/>
        <v>44848</v>
      </c>
      <c r="AH74" s="29">
        <f ca="1">IF(AG74=TODAY()-1,Loan!F44,IF(AG74&gt;$AB$13,$AB$55,AH73-AI74*AF73+AI74*AF74))</f>
        <v>1.2399293286219137E-2</v>
      </c>
      <c r="AI74" s="87">
        <f t="shared" ca="1" si="93"/>
        <v>5.8303886925795455E-5</v>
      </c>
      <c r="AJ74" s="76" t="str">
        <f t="shared" ca="1" si="116"/>
        <v/>
      </c>
      <c r="AK74" s="76" t="str">
        <f t="shared" ca="1" si="124"/>
        <v/>
      </c>
      <c r="AL74" s="76" t="str">
        <f t="shared" ca="1" si="94"/>
        <v/>
      </c>
      <c r="AM74" s="11">
        <f t="shared" ca="1" si="117"/>
        <v>123.99293286219137</v>
      </c>
      <c r="AN74" s="11">
        <f t="shared" ca="1" si="118"/>
        <v>572.78793777119711</v>
      </c>
      <c r="AO74" s="11">
        <f t="shared" ca="1" si="86"/>
        <v>61.201850298485965</v>
      </c>
      <c r="AP74" s="12">
        <f t="shared" ca="1" si="87"/>
        <v>0.11963157677103675</v>
      </c>
      <c r="AQ74" s="11">
        <f t="shared" ca="1" si="119"/>
        <v>493.14288306754685</v>
      </c>
      <c r="AR74" s="11">
        <f t="shared" ca="1" si="88"/>
        <v>63.422156998522837</v>
      </c>
      <c r="AS74" s="12">
        <f t="shared" ca="1" si="89"/>
        <v>0.14758924378326502</v>
      </c>
      <c r="AT74" s="11">
        <f t="shared" ca="1" si="120"/>
        <v>441.26241326332195</v>
      </c>
      <c r="AU74" s="11">
        <f t="shared" ca="1" si="90"/>
        <v>65.613289551201888</v>
      </c>
      <c r="AV74" s="12">
        <f t="shared" ca="1" si="91"/>
        <v>0.17466642515446101</v>
      </c>
      <c r="AW74" s="10">
        <f t="shared" si="121"/>
        <v>44848</v>
      </c>
      <c r="AX74" s="76">
        <f t="shared" ca="1" si="79"/>
        <v>99491.595789612766</v>
      </c>
      <c r="AY74" s="75">
        <f t="shared" ca="1" si="125"/>
        <v>16.117698195386971</v>
      </c>
      <c r="AZ74" s="75">
        <f t="shared" ca="1" si="122"/>
        <v>9.1584857710936021</v>
      </c>
      <c r="BA74" s="75">
        <f t="shared" ca="1" si="80"/>
        <v>6.9592124242933693</v>
      </c>
      <c r="BB74" s="75">
        <f t="shared" ca="1" si="81"/>
        <v>99484.636577188474</v>
      </c>
      <c r="BC74" s="12"/>
      <c r="BD74" s="12"/>
    </row>
    <row r="75" spans="3:56">
      <c r="C75" s="3">
        <f t="shared" si="101"/>
        <v>6</v>
      </c>
      <c r="D75" s="3">
        <f t="shared" si="110"/>
        <v>7</v>
      </c>
      <c r="E75" s="1">
        <f t="shared" si="111"/>
        <v>2025</v>
      </c>
      <c r="F75" s="3">
        <f t="shared" si="102"/>
        <v>63</v>
      </c>
      <c r="G75" s="3">
        <f t="shared" si="112"/>
        <v>71</v>
      </c>
      <c r="H75" s="4">
        <f t="shared" si="103"/>
        <v>168828.66905563275</v>
      </c>
      <c r="L75" s="25" t="str">
        <f t="shared" ca="1" si="104"/>
        <v/>
      </c>
      <c r="M75" s="4">
        <f t="shared" si="105"/>
        <v>168828.66905563275</v>
      </c>
      <c r="N75" s="5">
        <f t="shared" si="83"/>
        <v>2.18E-2</v>
      </c>
      <c r="O75" s="6">
        <f t="shared" si="106"/>
        <v>5.0499999999999996E-2</v>
      </c>
      <c r="P75" s="4">
        <f t="shared" si="99"/>
        <v>710.48731560912108</v>
      </c>
      <c r="Q75" s="7">
        <f t="shared" si="107"/>
        <v>1147.14236604404</v>
      </c>
      <c r="R75" s="4">
        <f t="shared" si="113"/>
        <v>436.65505043491896</v>
      </c>
      <c r="S75" s="4">
        <f t="shared" si="100"/>
        <v>168392.01400519782</v>
      </c>
      <c r="T75" s="4">
        <f t="shared" si="114"/>
        <v>0</v>
      </c>
      <c r="U75" s="4">
        <f t="shared" si="108"/>
        <v>168392.01400519782</v>
      </c>
      <c r="AE75" s="91" t="str">
        <f t="shared" ca="1" si="126"/>
        <v/>
      </c>
      <c r="AF75" s="70">
        <f t="shared" si="123"/>
        <v>44851</v>
      </c>
      <c r="AG75" s="10">
        <f t="shared" ref="AG75" si="127">AG74+3</f>
        <v>44851</v>
      </c>
      <c r="AH75" s="29">
        <f ca="1">IF(AG75=TODAY()-1,Loan!F45,IF(AG75&gt;$AB$13,$AB$55,AH74-AI75*AF74+AI75*AF75))</f>
        <v>1.257420494699657E-2</v>
      </c>
      <c r="AI75" s="87">
        <f t="shared" ca="1" si="93"/>
        <v>5.8303886925794825E-5</v>
      </c>
      <c r="AJ75" s="76" t="str">
        <f t="shared" ca="1" si="116"/>
        <v/>
      </c>
      <c r="AK75" s="76" t="str">
        <f t="shared" ca="1" si="124"/>
        <v/>
      </c>
      <c r="AL75" s="76" t="str">
        <f t="shared" ca="1" si="94"/>
        <v/>
      </c>
      <c r="AM75" s="11">
        <f t="shared" ca="1" si="117"/>
        <v>125.74204946996571</v>
      </c>
      <c r="AN75" s="11">
        <f t="shared" ca="1" si="118"/>
        <v>573.68067453840479</v>
      </c>
      <c r="AO75" s="11">
        <f t="shared" ca="1" si="86"/>
        <v>62.094587065693645</v>
      </c>
      <c r="AP75" s="12">
        <f t="shared" ca="1" si="87"/>
        <v>0.12137661399755301</v>
      </c>
      <c r="AQ75" s="11">
        <f t="shared" ca="1" si="119"/>
        <v>494.07357669713974</v>
      </c>
      <c r="AR75" s="11">
        <f t="shared" ca="1" si="88"/>
        <v>64.352850628115732</v>
      </c>
      <c r="AS75" s="12">
        <f t="shared" ca="1" si="89"/>
        <v>0.14975505421113675</v>
      </c>
      <c r="AT75" s="11">
        <f t="shared" ca="1" si="120"/>
        <v>442.23020547576095</v>
      </c>
      <c r="AU75" s="11">
        <f t="shared" ca="1" si="90"/>
        <v>66.581081763640896</v>
      </c>
      <c r="AV75" s="12">
        <f t="shared" ca="1" si="91"/>
        <v>0.17724274478719543</v>
      </c>
      <c r="AW75" s="10">
        <f t="shared" si="121"/>
        <v>44851</v>
      </c>
      <c r="AX75" s="76">
        <f t="shared" ca="1" si="79"/>
        <v>99484.636577188474</v>
      </c>
      <c r="AY75" s="75">
        <f t="shared" ca="1" si="125"/>
        <v>16.149200307819775</v>
      </c>
      <c r="AZ75" s="75">
        <f t="shared" ca="1" si="122"/>
        <v>9.2055191913299588</v>
      </c>
      <c r="BA75" s="75">
        <f t="shared" ca="1" si="80"/>
        <v>6.9436811164898167</v>
      </c>
      <c r="BB75" s="75">
        <f t="shared" ca="1" si="81"/>
        <v>99477.692896071982</v>
      </c>
      <c r="BC75" s="12"/>
      <c r="BD75" s="12"/>
    </row>
    <row r="76" spans="3:56">
      <c r="C76" s="3">
        <f t="shared" si="101"/>
        <v>6</v>
      </c>
      <c r="D76" s="3">
        <f t="shared" si="110"/>
        <v>8</v>
      </c>
      <c r="E76" s="1">
        <f t="shared" si="111"/>
        <v>2025</v>
      </c>
      <c r="F76" s="3">
        <f t="shared" si="102"/>
        <v>63</v>
      </c>
      <c r="G76" s="3">
        <f t="shared" si="112"/>
        <v>72</v>
      </c>
      <c r="H76" s="4">
        <f t="shared" si="103"/>
        <v>168392.01400519782</v>
      </c>
      <c r="L76" s="25" t="str">
        <f t="shared" ca="1" si="104"/>
        <v/>
      </c>
      <c r="M76" s="4">
        <f t="shared" si="105"/>
        <v>168392.01400519782</v>
      </c>
      <c r="N76" s="5">
        <f t="shared" si="83"/>
        <v>2.18E-2</v>
      </c>
      <c r="O76" s="6">
        <f t="shared" si="106"/>
        <v>5.0499999999999996E-2</v>
      </c>
      <c r="P76" s="4">
        <f t="shared" si="99"/>
        <v>708.64972560520744</v>
      </c>
      <c r="Q76" s="7">
        <f t="shared" si="107"/>
        <v>1147.1423660440403</v>
      </c>
      <c r="R76" s="4">
        <f t="shared" si="113"/>
        <v>438.49264043883284</v>
      </c>
      <c r="S76" s="4">
        <f t="shared" si="100"/>
        <v>167953.52136475898</v>
      </c>
      <c r="T76" s="4">
        <f t="shared" si="114"/>
        <v>0</v>
      </c>
      <c r="U76" s="4">
        <f t="shared" si="108"/>
        <v>167953.52136475898</v>
      </c>
      <c r="AE76" s="91" t="str">
        <f t="shared" ca="1" si="126"/>
        <v/>
      </c>
      <c r="AF76" s="70">
        <f t="shared" si="123"/>
        <v>44852</v>
      </c>
      <c r="AG76" s="10">
        <f t="shared" ref="AG76" si="128">AG75+1</f>
        <v>44852</v>
      </c>
      <c r="AH76" s="29">
        <f ca="1">IF(AG76=TODAY()-1,Loan!F46,IF(AG76&gt;$AB$13,$AB$55,AH75-AI76*AF75+AI76*AF76))</f>
        <v>1.2632508833922085E-2</v>
      </c>
      <c r="AI76" s="87">
        <f t="shared" ca="1" si="93"/>
        <v>5.8303886925794635E-5</v>
      </c>
      <c r="AJ76" s="76" t="str">
        <f t="shared" ca="1" si="116"/>
        <v/>
      </c>
      <c r="AK76" s="76" t="str">
        <f t="shared" ca="1" si="124"/>
        <v/>
      </c>
      <c r="AL76" s="76" t="str">
        <f t="shared" ca="1" si="94"/>
        <v/>
      </c>
      <c r="AM76" s="11">
        <f t="shared" ca="1" si="117"/>
        <v>126.32508833922086</v>
      </c>
      <c r="AN76" s="11">
        <f t="shared" ca="1" si="118"/>
        <v>573.97843320543905</v>
      </c>
      <c r="AO76" s="11">
        <f t="shared" ca="1" si="86"/>
        <v>62.392345732727904</v>
      </c>
      <c r="AP76" s="12">
        <f t="shared" ca="1" si="87"/>
        <v>0.12195864442082979</v>
      </c>
      <c r="AQ76" s="11">
        <f t="shared" ca="1" si="119"/>
        <v>494.38402698565363</v>
      </c>
      <c r="AR76" s="11">
        <f t="shared" ca="1" si="88"/>
        <v>64.663300916629623</v>
      </c>
      <c r="AS76" s="12">
        <f t="shared" ca="1" si="89"/>
        <v>0.15047750083677153</v>
      </c>
      <c r="AT76" s="11">
        <f t="shared" ca="1" si="120"/>
        <v>442.55305782542337</v>
      </c>
      <c r="AU76" s="11">
        <f t="shared" ca="1" si="90"/>
        <v>66.903934113303308</v>
      </c>
      <c r="AV76" s="12">
        <f t="shared" ca="1" si="91"/>
        <v>0.17810219667802382</v>
      </c>
      <c r="AW76" s="10">
        <f t="shared" si="121"/>
        <v>44852</v>
      </c>
      <c r="AX76" s="76">
        <f t="shared" ca="1" si="79"/>
        <v>99477.692896071982</v>
      </c>
      <c r="AY76" s="75">
        <f t="shared" ca="1" si="125"/>
        <v>16.155951377815509</v>
      </c>
      <c r="AZ76" s="75">
        <f t="shared" ca="1" si="122"/>
        <v>9.2207669142042299</v>
      </c>
      <c r="BA76" s="75">
        <f t="shared" ca="1" si="80"/>
        <v>6.9351844636112787</v>
      </c>
      <c r="BB76" s="75">
        <f t="shared" ca="1" si="81"/>
        <v>99470.75771160837</v>
      </c>
      <c r="BC76" s="12"/>
      <c r="BD76" s="12"/>
    </row>
    <row r="77" spans="3:56">
      <c r="C77" s="3">
        <f t="shared" si="101"/>
        <v>7</v>
      </c>
      <c r="D77" s="3">
        <f t="shared" si="110"/>
        <v>9</v>
      </c>
      <c r="E77" s="1">
        <f t="shared" si="111"/>
        <v>2025</v>
      </c>
      <c r="F77" s="3">
        <f t="shared" si="102"/>
        <v>63</v>
      </c>
      <c r="G77" s="3">
        <f t="shared" si="112"/>
        <v>73</v>
      </c>
      <c r="H77" s="4">
        <f t="shared" si="103"/>
        <v>167953.52136475898</v>
      </c>
      <c r="L77" s="25" t="str">
        <f t="shared" ca="1" si="104"/>
        <v/>
      </c>
      <c r="M77" s="4">
        <f t="shared" si="105"/>
        <v>167953.52136475898</v>
      </c>
      <c r="N77" s="5">
        <f t="shared" si="83"/>
        <v>2.18E-2</v>
      </c>
      <c r="O77" s="6">
        <f t="shared" si="106"/>
        <v>5.0499999999999996E-2</v>
      </c>
      <c r="P77" s="4">
        <f t="shared" si="99"/>
        <v>706.80440241002736</v>
      </c>
      <c r="Q77" s="7">
        <f t="shared" si="107"/>
        <v>1147.14236604404</v>
      </c>
      <c r="R77" s="4">
        <f t="shared" si="113"/>
        <v>440.33796363401268</v>
      </c>
      <c r="S77" s="4">
        <f t="shared" si="100"/>
        <v>167513.18340112496</v>
      </c>
      <c r="T77" s="4">
        <f t="shared" si="114"/>
        <v>0</v>
      </c>
      <c r="U77" s="4">
        <f t="shared" si="108"/>
        <v>167513.18340112496</v>
      </c>
      <c r="AE77" s="91" t="str">
        <f t="shared" ca="1" si="126"/>
        <v/>
      </c>
      <c r="AF77" s="70">
        <f t="shared" si="123"/>
        <v>44853</v>
      </c>
      <c r="AG77" s="10">
        <f t="shared" si="98"/>
        <v>44853</v>
      </c>
      <c r="AH77" s="29">
        <f ca="1">IF(AG77=TODAY()-1,Loan!F47,IF(AG77&gt;$AB$13,$AB$55,AH76-AI77*AF76+AI77*AF77))</f>
        <v>1.2690812720848044E-2</v>
      </c>
      <c r="AI77" s="87">
        <f t="shared" ca="1" si="93"/>
        <v>5.8303886925795733E-5</v>
      </c>
      <c r="AJ77" s="76" t="str">
        <f t="shared" ca="1" si="116"/>
        <v/>
      </c>
      <c r="AK77" s="76" t="str">
        <f t="shared" ca="1" si="124"/>
        <v/>
      </c>
      <c r="AL77" s="76" t="str">
        <f t="shared" ca="1" si="94"/>
        <v/>
      </c>
      <c r="AM77" s="11">
        <f t="shared" ca="1" si="117"/>
        <v>126.90812720848044</v>
      </c>
      <c r="AN77" s="11">
        <f t="shared" ca="1" si="118"/>
        <v>574.27628172039579</v>
      </c>
      <c r="AO77" s="11">
        <f t="shared" ca="1" si="86"/>
        <v>62.690194247684644</v>
      </c>
      <c r="AP77" s="12">
        <f t="shared" ca="1" si="87"/>
        <v>0.12254085047031042</v>
      </c>
      <c r="AQ77" s="11">
        <f t="shared" ca="1" si="119"/>
        <v>494.69458676801156</v>
      </c>
      <c r="AR77" s="11">
        <f t="shared" ca="1" si="88"/>
        <v>64.973860698987551</v>
      </c>
      <c r="AS77" s="12">
        <f t="shared" ca="1" si="89"/>
        <v>0.15120020226474043</v>
      </c>
      <c r="AT77" s="11">
        <f t="shared" ca="1" si="120"/>
        <v>442.87603757274996</v>
      </c>
      <c r="AU77" s="11">
        <f t="shared" ca="1" si="90"/>
        <v>67.226913860629907</v>
      </c>
      <c r="AV77" s="12">
        <f t="shared" ca="1" si="91"/>
        <v>0.17896198770890645</v>
      </c>
      <c r="AW77" s="10">
        <f t="shared" si="121"/>
        <v>44853</v>
      </c>
      <c r="AX77" s="76">
        <f t="shared" ca="1" si="79"/>
        <v>99470.75771160837</v>
      </c>
      <c r="AY77" s="75">
        <f t="shared" ca="1" si="125"/>
        <v>16.164959697004175</v>
      </c>
      <c r="AZ77" s="75">
        <f t="shared" ca="1" si="122"/>
        <v>9.2360132076848522</v>
      </c>
      <c r="BA77" s="75">
        <f t="shared" ca="1" si="80"/>
        <v>6.9289464893193227</v>
      </c>
      <c r="BB77" s="75">
        <f t="shared" ca="1" si="81"/>
        <v>99463.828765119048</v>
      </c>
      <c r="BC77" s="12"/>
      <c r="BD77" s="12"/>
    </row>
    <row r="78" spans="3:56">
      <c r="C78" s="3">
        <f t="shared" si="101"/>
        <v>7</v>
      </c>
      <c r="D78" s="3">
        <f t="shared" si="110"/>
        <v>10</v>
      </c>
      <c r="E78" s="1">
        <f t="shared" si="111"/>
        <v>2025</v>
      </c>
      <c r="F78" s="3">
        <f t="shared" si="102"/>
        <v>63</v>
      </c>
      <c r="G78" s="3">
        <f t="shared" si="112"/>
        <v>74</v>
      </c>
      <c r="H78" s="4">
        <f t="shared" si="103"/>
        <v>167513.18340112496</v>
      </c>
      <c r="L78" s="25" t="str">
        <f t="shared" ca="1" si="104"/>
        <v/>
      </c>
      <c r="M78" s="4">
        <f t="shared" si="105"/>
        <v>167513.18340112496</v>
      </c>
      <c r="N78" s="5">
        <f t="shared" si="83"/>
        <v>2.18E-2</v>
      </c>
      <c r="O78" s="6">
        <f t="shared" si="106"/>
        <v>5.0499999999999996E-2</v>
      </c>
      <c r="P78" s="4">
        <f t="shared" si="99"/>
        <v>704.95131347973404</v>
      </c>
      <c r="Q78" s="7">
        <f t="shared" si="107"/>
        <v>1147.1423660440403</v>
      </c>
      <c r="R78" s="4">
        <f t="shared" si="113"/>
        <v>442.19105256430623</v>
      </c>
      <c r="S78" s="4">
        <f t="shared" si="100"/>
        <v>167070.99234856066</v>
      </c>
      <c r="T78" s="4">
        <f t="shared" si="114"/>
        <v>0</v>
      </c>
      <c r="U78" s="4">
        <f t="shared" si="108"/>
        <v>167070.99234856066</v>
      </c>
      <c r="AE78" s="91" t="str">
        <f t="shared" ca="1" si="126"/>
        <v/>
      </c>
      <c r="AF78" s="70">
        <f t="shared" si="123"/>
        <v>44854</v>
      </c>
      <c r="AG78" s="10">
        <f t="shared" si="98"/>
        <v>44854</v>
      </c>
      <c r="AH78" s="29">
        <f ca="1">IF(AG78=TODAY()-1,Loan!F48,IF(AG78&gt;$AB$13,$AB$55,AH77-AI78*AF77+AI78*AF78))</f>
        <v>1.2749116607774003E-2</v>
      </c>
      <c r="AI78" s="87">
        <f t="shared" ca="1" si="93"/>
        <v>5.8303886925795089E-5</v>
      </c>
      <c r="AJ78" s="76" t="str">
        <f t="shared" ca="1" si="116"/>
        <v/>
      </c>
      <c r="AK78" s="76" t="str">
        <f t="shared" ca="1" si="124"/>
        <v/>
      </c>
      <c r="AL78" s="76" t="str">
        <f t="shared" ca="1" si="94"/>
        <v/>
      </c>
      <c r="AM78" s="11">
        <f t="shared" ca="1" si="117"/>
        <v>127.49116607774002</v>
      </c>
      <c r="AN78" s="11">
        <f t="shared" ca="1" si="118"/>
        <v>574.57422006859736</v>
      </c>
      <c r="AO78" s="11">
        <f t="shared" ca="1" si="86"/>
        <v>62.988132595886213</v>
      </c>
      <c r="AP78" s="12">
        <f t="shared" ca="1" si="87"/>
        <v>0.12312323211730442</v>
      </c>
      <c r="AQ78" s="11">
        <f t="shared" ca="1" si="119"/>
        <v>495.0052560168603</v>
      </c>
      <c r="AR78" s="11">
        <f t="shared" ca="1" si="88"/>
        <v>65.28452994783629</v>
      </c>
      <c r="AS78" s="12">
        <f t="shared" ca="1" si="89"/>
        <v>0.15192315843139004</v>
      </c>
      <c r="AT78" s="11">
        <f t="shared" ca="1" si="120"/>
        <v>443.19914467259053</v>
      </c>
      <c r="AU78" s="11">
        <f t="shared" ca="1" si="90"/>
        <v>67.550020960470476</v>
      </c>
      <c r="AV78" s="12">
        <f t="shared" ca="1" si="91"/>
        <v>0.17982211775965079</v>
      </c>
      <c r="AW78" s="10">
        <f t="shared" si="121"/>
        <v>44854</v>
      </c>
      <c r="AX78" s="76">
        <f t="shared" ca="1" si="79"/>
        <v>99463.828765119048</v>
      </c>
      <c r="AY78" s="75">
        <f t="shared" ca="1" si="125"/>
        <v>16.173971210655854</v>
      </c>
      <c r="AZ78" s="75">
        <f t="shared" ca="1" si="122"/>
        <v>9.2512578657608024</v>
      </c>
      <c r="BA78" s="75">
        <f t="shared" ca="1" si="80"/>
        <v>6.9227133448950511</v>
      </c>
      <c r="BB78" s="75">
        <f t="shared" ca="1" si="81"/>
        <v>99456.906051774145</v>
      </c>
      <c r="BC78" s="12"/>
      <c r="BD78" s="12"/>
    </row>
    <row r="79" spans="3:56">
      <c r="C79" s="3">
        <f t="shared" si="101"/>
        <v>7</v>
      </c>
      <c r="D79" s="3">
        <f t="shared" si="110"/>
        <v>11</v>
      </c>
      <c r="E79" s="1">
        <f t="shared" si="111"/>
        <v>2025</v>
      </c>
      <c r="F79" s="3">
        <f t="shared" si="102"/>
        <v>63</v>
      </c>
      <c r="G79" s="3">
        <f t="shared" si="112"/>
        <v>75</v>
      </c>
      <c r="H79" s="4">
        <f t="shared" si="103"/>
        <v>167070.99234856066</v>
      </c>
      <c r="L79" s="25" t="str">
        <f t="shared" ca="1" si="104"/>
        <v/>
      </c>
      <c r="M79" s="4">
        <f t="shared" si="105"/>
        <v>167070.99234856066</v>
      </c>
      <c r="N79" s="5">
        <f t="shared" si="83"/>
        <v>2.18E-2</v>
      </c>
      <c r="O79" s="6">
        <f t="shared" si="106"/>
        <v>5.0499999999999996E-2</v>
      </c>
      <c r="P79" s="4">
        <f t="shared" si="99"/>
        <v>703.09042613352597</v>
      </c>
      <c r="Q79" s="7">
        <f t="shared" si="107"/>
        <v>1147.1423660440403</v>
      </c>
      <c r="R79" s="4">
        <f t="shared" si="113"/>
        <v>444.05193991051431</v>
      </c>
      <c r="S79" s="4">
        <f t="shared" si="100"/>
        <v>166626.94040865015</v>
      </c>
      <c r="T79" s="4">
        <f t="shared" si="114"/>
        <v>0</v>
      </c>
      <c r="U79" s="4">
        <f t="shared" si="108"/>
        <v>166626.94040865015</v>
      </c>
      <c r="AE79" s="91" t="str">
        <f t="shared" ca="1" si="126"/>
        <v/>
      </c>
      <c r="AF79" s="70">
        <f t="shared" si="123"/>
        <v>44855</v>
      </c>
      <c r="AG79" s="10">
        <f t="shared" si="98"/>
        <v>44855</v>
      </c>
      <c r="AH79" s="29">
        <f ca="1">IF(AG79=TODAY()-1,Loan!F49,IF(AG79&gt;$AB$13,$AB$55,AH78-AI79*AF78+AI79*AF79))</f>
        <v>1.2807420494699517E-2</v>
      </c>
      <c r="AI79" s="87">
        <f t="shared" ca="1" si="93"/>
        <v>5.8303886925794446E-5</v>
      </c>
      <c r="AJ79" s="76" t="str">
        <f t="shared" ca="1" si="116"/>
        <v/>
      </c>
      <c r="AK79" s="76" t="str">
        <f t="shared" ca="1" si="124"/>
        <v/>
      </c>
      <c r="AL79" s="76" t="str">
        <f t="shared" ca="1" si="94"/>
        <v/>
      </c>
      <c r="AM79" s="11">
        <f t="shared" ca="1" si="117"/>
        <v>128.07420494699517</v>
      </c>
      <c r="AN79" s="11">
        <f t="shared" ca="1" si="118"/>
        <v>574.87224823537895</v>
      </c>
      <c r="AO79" s="11">
        <f t="shared" ca="1" si="86"/>
        <v>63.286160762667805</v>
      </c>
      <c r="AP79" s="12">
        <f t="shared" ca="1" si="87"/>
        <v>0.12370578933314638</v>
      </c>
      <c r="AQ79" s="11">
        <f t="shared" ca="1" si="119"/>
        <v>495.31603470483464</v>
      </c>
      <c r="AR79" s="11">
        <f t="shared" ca="1" si="88"/>
        <v>65.595308635810625</v>
      </c>
      <c r="AS79" s="12">
        <f t="shared" ca="1" si="89"/>
        <v>0.15264636927303887</v>
      </c>
      <c r="AT79" s="11">
        <f t="shared" ca="1" si="120"/>
        <v>443.52237907975939</v>
      </c>
      <c r="AU79" s="11">
        <f t="shared" ca="1" si="90"/>
        <v>67.873255367639331</v>
      </c>
      <c r="AV79" s="12">
        <f t="shared" ca="1" si="91"/>
        <v>0.18068258670996987</v>
      </c>
      <c r="AW79" s="10">
        <f t="shared" si="121"/>
        <v>44855</v>
      </c>
      <c r="AX79" s="76">
        <f t="shared" ca="1" si="79"/>
        <v>99456.906051774145</v>
      </c>
      <c r="AY79" s="75">
        <f t="shared" ca="1" si="125"/>
        <v>16.182985918259554</v>
      </c>
      <c r="AZ79" s="75">
        <f t="shared" ca="1" si="122"/>
        <v>9.2665008909712583</v>
      </c>
      <c r="BA79" s="75">
        <f t="shared" ca="1" si="80"/>
        <v>6.9164850272882958</v>
      </c>
      <c r="BB79" s="75">
        <f t="shared" ca="1" si="81"/>
        <v>99449.989566746852</v>
      </c>
      <c r="BC79" s="12"/>
      <c r="BD79" s="12"/>
    </row>
    <row r="80" spans="3:56">
      <c r="C80" s="3">
        <f t="shared" si="101"/>
        <v>7</v>
      </c>
      <c r="D80" s="3">
        <f t="shared" si="110"/>
        <v>12</v>
      </c>
      <c r="E80" s="1">
        <f t="shared" si="111"/>
        <v>2025</v>
      </c>
      <c r="F80" s="3">
        <f t="shared" si="102"/>
        <v>63</v>
      </c>
      <c r="G80" s="3">
        <f t="shared" si="112"/>
        <v>76</v>
      </c>
      <c r="H80" s="4">
        <f t="shared" si="103"/>
        <v>166626.94040865015</v>
      </c>
      <c r="L80" s="25" t="str">
        <f t="shared" ca="1" si="104"/>
        <v/>
      </c>
      <c r="M80" s="4">
        <f t="shared" si="105"/>
        <v>166626.94040865015</v>
      </c>
      <c r="N80" s="5">
        <f t="shared" si="83"/>
        <v>2.18E-2</v>
      </c>
      <c r="O80" s="6">
        <f t="shared" si="106"/>
        <v>5.0499999999999996E-2</v>
      </c>
      <c r="P80" s="4">
        <f t="shared" si="99"/>
        <v>701.22170755306934</v>
      </c>
      <c r="Q80" s="7">
        <f t="shared" si="107"/>
        <v>1147.1423660440405</v>
      </c>
      <c r="R80" s="4">
        <f t="shared" si="113"/>
        <v>445.92065849097116</v>
      </c>
      <c r="S80" s="4">
        <f t="shared" si="100"/>
        <v>166181.01975015918</v>
      </c>
      <c r="T80" s="4">
        <f t="shared" si="114"/>
        <v>0</v>
      </c>
      <c r="U80" s="4">
        <f t="shared" si="108"/>
        <v>166181.01975015918</v>
      </c>
      <c r="AE80" s="91" t="str">
        <f t="shared" ca="1" si="126"/>
        <v/>
      </c>
      <c r="AF80" s="70">
        <f t="shared" si="123"/>
        <v>44858</v>
      </c>
      <c r="AG80" s="10">
        <f t="shared" ref="AG80" si="129">AG79+3</f>
        <v>44858</v>
      </c>
      <c r="AH80" s="29">
        <f ca="1">IF(AG80=TODAY()-1,Loan!F50,IF(AG80&gt;$AB$13,$AB$55,AH79-AI80*AF79+AI80*AF80))</f>
        <v>1.298233215547695E-2</v>
      </c>
      <c r="AI80" s="87">
        <f t="shared" ca="1" si="93"/>
        <v>5.830388692579555E-5</v>
      </c>
      <c r="AJ80" s="76" t="str">
        <f t="shared" ca="1" si="116"/>
        <v/>
      </c>
      <c r="AK80" s="76" t="str">
        <f t="shared" ca="1" si="124"/>
        <v/>
      </c>
      <c r="AL80" s="76" t="str">
        <f t="shared" ca="1" si="94"/>
        <v/>
      </c>
      <c r="AM80" s="11">
        <f t="shared" ca="1" si="117"/>
        <v>129.82332155476951</v>
      </c>
      <c r="AN80" s="11">
        <f t="shared" ca="1" si="118"/>
        <v>575.76687150015493</v>
      </c>
      <c r="AO80" s="11">
        <f t="shared" ca="1" si="86"/>
        <v>64.180784027443792</v>
      </c>
      <c r="AP80" s="12">
        <f t="shared" ca="1" si="87"/>
        <v>0.12545451410632291</v>
      </c>
      <c r="AQ80" s="11">
        <f t="shared" ca="1" si="119"/>
        <v>496.2490271292595</v>
      </c>
      <c r="AR80" s="11">
        <f t="shared" ca="1" si="88"/>
        <v>66.528301060235492</v>
      </c>
      <c r="AS80" s="12">
        <f t="shared" ca="1" si="89"/>
        <v>0.15481752920977185</v>
      </c>
      <c r="AT80" s="11">
        <f t="shared" ca="1" si="120"/>
        <v>444.49284569249954</v>
      </c>
      <c r="AU80" s="11">
        <f t="shared" ca="1" si="90"/>
        <v>68.843721980379485</v>
      </c>
      <c r="AV80" s="12">
        <f t="shared" ca="1" si="91"/>
        <v>0.18326602575316561</v>
      </c>
      <c r="AW80" s="10">
        <f t="shared" si="121"/>
        <v>44858</v>
      </c>
      <c r="AX80" s="76">
        <f t="shared" ca="1" si="79"/>
        <v>99449.989566746852</v>
      </c>
      <c r="AY80" s="75">
        <f t="shared" ca="1" si="125"/>
        <v>16.21455089568796</v>
      </c>
      <c r="AZ80" s="75">
        <f t="shared" ca="1" si="122"/>
        <v>9.3135139074774198</v>
      </c>
      <c r="BA80" s="75">
        <f t="shared" ca="1" si="80"/>
        <v>6.9010369882105405</v>
      </c>
      <c r="BB80" s="75">
        <f t="shared" ca="1" si="81"/>
        <v>99443.088529758636</v>
      </c>
      <c r="BC80" s="12"/>
      <c r="BD80" s="12"/>
    </row>
    <row r="81" spans="3:56">
      <c r="C81" s="3">
        <f t="shared" si="101"/>
        <v>7</v>
      </c>
      <c r="D81" s="3">
        <f t="shared" si="110"/>
        <v>1</v>
      </c>
      <c r="E81" s="1">
        <f t="shared" si="111"/>
        <v>2026</v>
      </c>
      <c r="F81" s="3">
        <f t="shared" si="102"/>
        <v>63</v>
      </c>
      <c r="G81" s="3">
        <f t="shared" si="112"/>
        <v>77</v>
      </c>
      <c r="H81" s="4">
        <f t="shared" si="103"/>
        <v>166181.01975015918</v>
      </c>
      <c r="L81" s="25" t="str">
        <f t="shared" ca="1" si="104"/>
        <v/>
      </c>
      <c r="M81" s="4">
        <f t="shared" si="105"/>
        <v>166181.01975015918</v>
      </c>
      <c r="N81" s="5">
        <f t="shared" si="83"/>
        <v>2.18E-2</v>
      </c>
      <c r="O81" s="6">
        <f t="shared" si="106"/>
        <v>5.0499999999999996E-2</v>
      </c>
      <c r="P81" s="4">
        <f t="shared" si="99"/>
        <v>699.34512478191982</v>
      </c>
      <c r="Q81" s="7">
        <f t="shared" si="107"/>
        <v>1147.1423660440403</v>
      </c>
      <c r="R81" s="4">
        <f t="shared" si="113"/>
        <v>447.79724126212045</v>
      </c>
      <c r="S81" s="4">
        <f t="shared" si="100"/>
        <v>165733.22250889704</v>
      </c>
      <c r="T81" s="4">
        <f t="shared" si="114"/>
        <v>0</v>
      </c>
      <c r="U81" s="4">
        <f t="shared" si="108"/>
        <v>165733.22250889704</v>
      </c>
      <c r="AE81" s="91" t="str">
        <f t="shared" ca="1" si="126"/>
        <v/>
      </c>
      <c r="AF81" s="70">
        <f t="shared" si="123"/>
        <v>44859</v>
      </c>
      <c r="AG81" s="10">
        <f t="shared" ref="AG81" si="130">AG80+1</f>
        <v>44859</v>
      </c>
      <c r="AH81" s="29">
        <f ca="1">IF(AG81=TODAY()-1,Loan!F51,IF(AG81&gt;$AB$13,$AB$55,AH80-AI81*AF80+AI81*AF81))</f>
        <v>1.3040636042402909E-2</v>
      </c>
      <c r="AI81" s="87">
        <f t="shared" ca="1" si="93"/>
        <v>5.8303886925795367E-5</v>
      </c>
      <c r="AJ81" s="76" t="str">
        <f t="shared" ca="1" si="116"/>
        <v/>
      </c>
      <c r="AK81" s="76" t="str">
        <f t="shared" ca="1" si="124"/>
        <v/>
      </c>
      <c r="AL81" s="76" t="str">
        <f t="shared" ca="1" si="94"/>
        <v/>
      </c>
      <c r="AM81" s="11">
        <f t="shared" ca="1" si="117"/>
        <v>130.40636042402909</v>
      </c>
      <c r="AN81" s="11">
        <f t="shared" ca="1" si="118"/>
        <v>576.06525879403739</v>
      </c>
      <c r="AO81" s="11">
        <f t="shared" ca="1" si="86"/>
        <v>64.479171321326248</v>
      </c>
      <c r="AP81" s="12">
        <f t="shared" ca="1" si="87"/>
        <v>0.12603777330978663</v>
      </c>
      <c r="AQ81" s="11">
        <f t="shared" ca="1" si="119"/>
        <v>496.56024329924281</v>
      </c>
      <c r="AR81" s="11">
        <f t="shared" ca="1" si="88"/>
        <v>66.839517230218803</v>
      </c>
      <c r="AS81" s="12">
        <f t="shared" ca="1" si="89"/>
        <v>0.15554175811264614</v>
      </c>
      <c r="AT81" s="11">
        <f t="shared" ca="1" si="120"/>
        <v>444.81658887591709</v>
      </c>
      <c r="AU81" s="11">
        <f t="shared" ca="1" si="90"/>
        <v>69.167465163797033</v>
      </c>
      <c r="AV81" s="12">
        <f t="shared" ca="1" si="91"/>
        <v>0.1841278490956996</v>
      </c>
      <c r="AW81" s="10">
        <f t="shared" si="121"/>
        <v>44859</v>
      </c>
      <c r="AX81" s="76">
        <f t="shared" ca="1" si="79"/>
        <v>99443.088529758636</v>
      </c>
      <c r="AY81" s="75">
        <f t="shared" ca="1" si="125"/>
        <v>16.221329568140547</v>
      </c>
      <c r="AZ81" s="75">
        <f t="shared" ca="1" si="122"/>
        <v>9.328752332273746</v>
      </c>
      <c r="BA81" s="75">
        <f t="shared" ca="1" si="80"/>
        <v>6.8925772358668009</v>
      </c>
      <c r="BB81" s="75">
        <f t="shared" ca="1" si="81"/>
        <v>99436.195952522772</v>
      </c>
      <c r="BC81" s="12"/>
      <c r="BD81" s="12"/>
    </row>
    <row r="82" spans="3:56">
      <c r="C82" s="3">
        <f t="shared" si="101"/>
        <v>7</v>
      </c>
      <c r="D82" s="3">
        <f t="shared" si="110"/>
        <v>2</v>
      </c>
      <c r="E82" s="1">
        <f t="shared" si="111"/>
        <v>2026</v>
      </c>
      <c r="F82" s="3">
        <f t="shared" si="102"/>
        <v>64</v>
      </c>
      <c r="G82" s="3">
        <f t="shared" si="112"/>
        <v>78</v>
      </c>
      <c r="H82" s="4">
        <f t="shared" si="103"/>
        <v>165733.22250889704</v>
      </c>
      <c r="L82" s="25" t="str">
        <f t="shared" ca="1" si="104"/>
        <v/>
      </c>
      <c r="M82" s="4">
        <f t="shared" si="105"/>
        <v>165733.22250889704</v>
      </c>
      <c r="N82" s="5">
        <f t="shared" si="83"/>
        <v>2.18E-2</v>
      </c>
      <c r="O82" s="6">
        <f t="shared" si="106"/>
        <v>5.0499999999999996E-2</v>
      </c>
      <c r="P82" s="4">
        <f t="shared" si="99"/>
        <v>697.46064472494163</v>
      </c>
      <c r="Q82" s="7">
        <f t="shared" si="107"/>
        <v>1147.1423660440405</v>
      </c>
      <c r="R82" s="4">
        <f t="shared" si="113"/>
        <v>449.68172131909887</v>
      </c>
      <c r="S82" s="4">
        <f t="shared" si="100"/>
        <v>165283.54078757795</v>
      </c>
      <c r="T82" s="4">
        <f t="shared" si="114"/>
        <v>0</v>
      </c>
      <c r="U82" s="4">
        <f t="shared" si="108"/>
        <v>165283.54078757795</v>
      </c>
      <c r="AE82" s="91" t="str">
        <f t="shared" ca="1" si="126"/>
        <v/>
      </c>
      <c r="AF82" s="70">
        <f t="shared" si="123"/>
        <v>44860</v>
      </c>
      <c r="AG82" s="10">
        <f t="shared" si="98"/>
        <v>44860</v>
      </c>
      <c r="AH82" s="29">
        <f ca="1">IF(AG82=TODAY()-1,Loan!F52,IF(AG82&gt;$AB$13,$AB$55,AH81-AI82*AF81+AI82*AF82))</f>
        <v>1.3098939929328868E-2</v>
      </c>
      <c r="AI82" s="87">
        <f t="shared" ca="1" si="93"/>
        <v>5.830388692579471E-5</v>
      </c>
      <c r="AJ82" s="76" t="str">
        <f t="shared" ca="1" si="116"/>
        <v/>
      </c>
      <c r="AK82" s="76" t="str">
        <f t="shared" ca="1" si="124"/>
        <v/>
      </c>
      <c r="AL82" s="76" t="str">
        <f t="shared" ca="1" si="94"/>
        <v/>
      </c>
      <c r="AM82" s="11">
        <f t="shared" ca="1" si="117"/>
        <v>130.98939929328867</v>
      </c>
      <c r="AN82" s="11">
        <f t="shared" ca="1" si="118"/>
        <v>576.36373583277305</v>
      </c>
      <c r="AO82" s="11">
        <f t="shared" ca="1" si="86"/>
        <v>64.777648360061903</v>
      </c>
      <c r="AP82" s="12">
        <f t="shared" ca="1" si="87"/>
        <v>0.12662120793798415</v>
      </c>
      <c r="AQ82" s="11">
        <f t="shared" ca="1" si="119"/>
        <v>496.87156877090769</v>
      </c>
      <c r="AR82" s="11">
        <f t="shared" ca="1" si="88"/>
        <v>67.150842701883676</v>
      </c>
      <c r="AS82" s="12">
        <f t="shared" ca="1" si="89"/>
        <v>0.15626624137067466</v>
      </c>
      <c r="AT82" s="11">
        <f t="shared" ca="1" si="120"/>
        <v>445.14045913983881</v>
      </c>
      <c r="AU82" s="11">
        <f t="shared" ca="1" si="90"/>
        <v>69.491335427718752</v>
      </c>
      <c r="AV82" s="12">
        <f t="shared" ca="1" si="91"/>
        <v>0.18499001073398927</v>
      </c>
      <c r="AW82" s="10">
        <f t="shared" si="121"/>
        <v>44860</v>
      </c>
      <c r="AX82" s="76">
        <f t="shared" ca="1" si="79"/>
        <v>99436.195952522772</v>
      </c>
      <c r="AY82" s="75">
        <f t="shared" ca="1" si="125"/>
        <v>16.230361492267175</v>
      </c>
      <c r="AZ82" s="75">
        <f t="shared" ca="1" si="122"/>
        <v>9.3439893473330233</v>
      </c>
      <c r="BA82" s="75">
        <f t="shared" ca="1" si="80"/>
        <v>6.8863721449341515</v>
      </c>
      <c r="BB82" s="75">
        <f t="shared" ca="1" si="81"/>
        <v>99429.309580377841</v>
      </c>
      <c r="BC82" s="12"/>
      <c r="BD82" s="12"/>
    </row>
    <row r="83" spans="3:56">
      <c r="C83" s="3">
        <f t="shared" si="101"/>
        <v>7</v>
      </c>
      <c r="D83" s="3">
        <f t="shared" si="110"/>
        <v>3</v>
      </c>
      <c r="E83" s="1">
        <f t="shared" si="111"/>
        <v>2026</v>
      </c>
      <c r="F83" s="3">
        <f t="shared" si="102"/>
        <v>64</v>
      </c>
      <c r="G83" s="3">
        <f t="shared" si="112"/>
        <v>79</v>
      </c>
      <c r="H83" s="4">
        <f t="shared" si="103"/>
        <v>165283.54078757795</v>
      </c>
      <c r="L83" s="25" t="str">
        <f t="shared" ca="1" si="104"/>
        <v/>
      </c>
      <c r="M83" s="4">
        <f t="shared" si="105"/>
        <v>165283.54078757795</v>
      </c>
      <c r="N83" s="5">
        <f t="shared" si="83"/>
        <v>2.18E-2</v>
      </c>
      <c r="O83" s="6">
        <f t="shared" si="106"/>
        <v>5.0499999999999996E-2</v>
      </c>
      <c r="P83" s="4">
        <f t="shared" si="99"/>
        <v>695.56823414772373</v>
      </c>
      <c r="Q83" s="7">
        <f t="shared" si="107"/>
        <v>1147.1423660440403</v>
      </c>
      <c r="R83" s="4">
        <f t="shared" si="113"/>
        <v>451.57413189631654</v>
      </c>
      <c r="S83" s="4">
        <f t="shared" si="100"/>
        <v>164831.96665568164</v>
      </c>
      <c r="T83" s="4">
        <f t="shared" si="114"/>
        <v>0</v>
      </c>
      <c r="U83" s="4">
        <f t="shared" si="108"/>
        <v>164831.96665568164</v>
      </c>
      <c r="AE83" s="91" t="str">
        <f t="shared" ca="1" si="126"/>
        <v/>
      </c>
      <c r="AF83" s="70">
        <f t="shared" si="123"/>
        <v>44861</v>
      </c>
      <c r="AG83" s="10">
        <f t="shared" si="98"/>
        <v>44861</v>
      </c>
      <c r="AH83" s="29">
        <f ca="1">IF(AG83=TODAY()-1,Loan!F53,IF(AG83&gt;$AB$13,$AB$55,AH82-AI83*AF82+AI83*AF83))</f>
        <v>1.3157243816254827E-2</v>
      </c>
      <c r="AI83" s="87">
        <f t="shared" ca="1" si="93"/>
        <v>5.8303886925794046E-5</v>
      </c>
      <c r="AJ83" s="76" t="str">
        <f t="shared" ca="1" si="116"/>
        <v/>
      </c>
      <c r="AK83" s="76" t="str">
        <f t="shared" ca="1" si="124"/>
        <v/>
      </c>
      <c r="AL83" s="76" t="str">
        <f t="shared" ca="1" si="94"/>
        <v/>
      </c>
      <c r="AM83" s="11">
        <f t="shared" ca="1" si="117"/>
        <v>131.57243816254828</v>
      </c>
      <c r="AN83" s="11">
        <f t="shared" ca="1" si="118"/>
        <v>576.66230260155237</v>
      </c>
      <c r="AO83" s="11">
        <f t="shared" ca="1" si="86"/>
        <v>65.076215128841227</v>
      </c>
      <c r="AP83" s="12">
        <f t="shared" ca="1" si="87"/>
        <v>0.12720481796196714</v>
      </c>
      <c r="AQ83" s="11">
        <f t="shared" ca="1" si="119"/>
        <v>497.18300351665272</v>
      </c>
      <c r="AR83" s="11">
        <f t="shared" ca="1" si="88"/>
        <v>67.462277447628708</v>
      </c>
      <c r="AS83" s="12">
        <f t="shared" ca="1" si="89"/>
        <v>0.15699097891962641</v>
      </c>
      <c r="AT83" s="11">
        <f t="shared" ca="1" si="120"/>
        <v>445.46445643872954</v>
      </c>
      <c r="AU83" s="11">
        <f t="shared" ca="1" si="90"/>
        <v>69.815332726609483</v>
      </c>
      <c r="AV83" s="12">
        <f t="shared" ca="1" si="91"/>
        <v>0.18585251054681734</v>
      </c>
      <c r="AW83" s="10">
        <f t="shared" si="121"/>
        <v>44861</v>
      </c>
      <c r="AX83" s="76">
        <f t="shared" ca="1" si="79"/>
        <v>99429.309580377841</v>
      </c>
      <c r="AY83" s="75">
        <f t="shared" ca="1" si="125"/>
        <v>16.239396607741483</v>
      </c>
      <c r="AZ83" s="75">
        <f t="shared" ca="1" si="122"/>
        <v>9.3592247444792438</v>
      </c>
      <c r="BA83" s="75">
        <f t="shared" ca="1" si="80"/>
        <v>6.8801718632622393</v>
      </c>
      <c r="BB83" s="75">
        <f t="shared" ca="1" si="81"/>
        <v>99422.429408514581</v>
      </c>
      <c r="BC83" s="12"/>
      <c r="BD83" s="12"/>
    </row>
    <row r="84" spans="3:56">
      <c r="C84" s="3">
        <f t="shared" si="101"/>
        <v>7</v>
      </c>
      <c r="D84" s="3">
        <f t="shared" si="110"/>
        <v>4</v>
      </c>
      <c r="E84" s="1">
        <f t="shared" si="111"/>
        <v>2026</v>
      </c>
      <c r="F84" s="3">
        <f t="shared" si="102"/>
        <v>64</v>
      </c>
      <c r="G84" s="3">
        <f t="shared" si="112"/>
        <v>80</v>
      </c>
      <c r="H84" s="4">
        <f t="shared" si="103"/>
        <v>164831.96665568164</v>
      </c>
      <c r="L84" s="25" t="str">
        <f t="shared" ca="1" si="104"/>
        <v/>
      </c>
      <c r="M84" s="4">
        <f t="shared" si="105"/>
        <v>164831.96665568164</v>
      </c>
      <c r="N84" s="5">
        <f t="shared" si="83"/>
        <v>2.18E-2</v>
      </c>
      <c r="O84" s="6">
        <f t="shared" si="106"/>
        <v>5.0499999999999996E-2</v>
      </c>
      <c r="P84" s="4">
        <f t="shared" si="99"/>
        <v>693.66785967599344</v>
      </c>
      <c r="Q84" s="7">
        <f t="shared" si="107"/>
        <v>1147.1423660440405</v>
      </c>
      <c r="R84" s="4">
        <f t="shared" si="113"/>
        <v>453.47450636804706</v>
      </c>
      <c r="S84" s="4">
        <f t="shared" si="100"/>
        <v>164378.49214931359</v>
      </c>
      <c r="T84" s="4">
        <f t="shared" si="114"/>
        <v>0</v>
      </c>
      <c r="U84" s="4">
        <f t="shared" si="108"/>
        <v>164378.49214931359</v>
      </c>
      <c r="AE84" s="91" t="str">
        <f t="shared" ca="1" si="126"/>
        <v/>
      </c>
      <c r="AF84" s="70">
        <f t="shared" si="123"/>
        <v>44862</v>
      </c>
      <c r="AG84" s="10">
        <f t="shared" si="98"/>
        <v>44862</v>
      </c>
      <c r="AH84" s="29">
        <f ca="1">IF(AG84=TODAY()-1,Loan!F54,IF(AG84&gt;$AB$13,$AB$55,AH83-AI84*AF83+AI84*AF84))</f>
        <v>1.3215547703180341E-2</v>
      </c>
      <c r="AI84" s="87">
        <f t="shared" ca="1" si="93"/>
        <v>5.8303886925793375E-5</v>
      </c>
      <c r="AJ84" s="76" t="str">
        <f t="shared" ca="1" si="116"/>
        <v/>
      </c>
      <c r="AK84" s="76" t="str">
        <f t="shared" ca="1" si="124"/>
        <v/>
      </c>
      <c r="AL84" s="76" t="str">
        <f t="shared" ca="1" si="94"/>
        <v/>
      </c>
      <c r="AM84" s="11">
        <f t="shared" ca="1" si="117"/>
        <v>132.1554770318034</v>
      </c>
      <c r="AN84" s="11">
        <f t="shared" ca="1" si="118"/>
        <v>576.96095908557402</v>
      </c>
      <c r="AO84" s="11">
        <f t="shared" ca="1" si="86"/>
        <v>65.374871612862876</v>
      </c>
      <c r="AP84" s="12">
        <f t="shared" ca="1" si="87"/>
        <v>0.12778860335280343</v>
      </c>
      <c r="AQ84" s="11">
        <f t="shared" ca="1" si="119"/>
        <v>497.49454750886179</v>
      </c>
      <c r="AR84" s="11">
        <f t="shared" ca="1" si="88"/>
        <v>67.773821439837775</v>
      </c>
      <c r="AS84" s="12">
        <f t="shared" ca="1" si="89"/>
        <v>0.1577159706952361</v>
      </c>
      <c r="AT84" s="11">
        <f t="shared" ca="1" si="120"/>
        <v>445.78858072701587</v>
      </c>
      <c r="AU84" s="11">
        <f t="shared" ca="1" si="90"/>
        <v>70.139457014895811</v>
      </c>
      <c r="AV84" s="12">
        <f t="shared" ca="1" si="91"/>
        <v>0.18671534841286469</v>
      </c>
      <c r="AW84" s="10">
        <f t="shared" si="121"/>
        <v>44862</v>
      </c>
      <c r="AX84" s="76">
        <f t="shared" ca="1" si="79"/>
        <v>99422.429408514581</v>
      </c>
      <c r="AY84" s="75">
        <f t="shared" ca="1" si="125"/>
        <v>16.248434914052222</v>
      </c>
      <c r="AZ84" s="75">
        <f t="shared" ca="1" si="122"/>
        <v>9.3744585262323668</v>
      </c>
      <c r="BA84" s="75">
        <f t="shared" ca="1" si="80"/>
        <v>6.8739763878198552</v>
      </c>
      <c r="BB84" s="75">
        <f t="shared" ca="1" si="81"/>
        <v>99415.555432126755</v>
      </c>
      <c r="BC84" s="12"/>
      <c r="BD84" s="12"/>
    </row>
    <row r="85" spans="3:56">
      <c r="C85" s="3">
        <f t="shared" si="101"/>
        <v>7</v>
      </c>
      <c r="D85" s="3">
        <f t="shared" si="110"/>
        <v>5</v>
      </c>
      <c r="E85" s="1">
        <f t="shared" si="111"/>
        <v>2026</v>
      </c>
      <c r="F85" s="3">
        <f t="shared" si="102"/>
        <v>64</v>
      </c>
      <c r="G85" s="3">
        <f t="shared" si="112"/>
        <v>81</v>
      </c>
      <c r="H85" s="4">
        <f t="shared" si="103"/>
        <v>164378.49214931359</v>
      </c>
      <c r="L85" s="25" t="str">
        <f t="shared" ca="1" si="104"/>
        <v/>
      </c>
      <c r="M85" s="4">
        <f t="shared" si="105"/>
        <v>164378.49214931359</v>
      </c>
      <c r="N85" s="5">
        <f t="shared" si="83"/>
        <v>2.18E-2</v>
      </c>
      <c r="O85" s="6">
        <f t="shared" si="106"/>
        <v>5.0499999999999996E-2</v>
      </c>
      <c r="P85" s="4">
        <f t="shared" si="99"/>
        <v>691.75948779502789</v>
      </c>
      <c r="Q85" s="7">
        <f t="shared" si="107"/>
        <v>1147.1423660440403</v>
      </c>
      <c r="R85" s="4">
        <f t="shared" si="113"/>
        <v>455.38287824901238</v>
      </c>
      <c r="S85" s="4">
        <f t="shared" si="100"/>
        <v>163923.10927106458</v>
      </c>
      <c r="T85" s="4">
        <f t="shared" si="114"/>
        <v>0</v>
      </c>
      <c r="U85" s="4">
        <f t="shared" si="108"/>
        <v>163923.10927106458</v>
      </c>
      <c r="AE85" s="91" t="str">
        <f t="shared" ca="1" si="126"/>
        <v/>
      </c>
      <c r="AF85" s="70">
        <f t="shared" si="123"/>
        <v>44865</v>
      </c>
      <c r="AG85" s="10">
        <f t="shared" ref="AG85" si="131">AG84+3</f>
        <v>44865</v>
      </c>
      <c r="AH85" s="29">
        <f ca="1">IF(AG85=TODAY()-1,Loan!F55,IF(AG85&gt;$AB$13,$AB$55,AH84-AI85*AF84+AI85*AF85))</f>
        <v>1.3390459363957774E-2</v>
      </c>
      <c r="AI85" s="87">
        <f t="shared" ca="1" si="93"/>
        <v>5.8303886925794514E-5</v>
      </c>
      <c r="AJ85" s="76" t="str">
        <f t="shared" ca="1" si="116"/>
        <v/>
      </c>
      <c r="AK85" s="76" t="str">
        <f t="shared" ca="1" si="124"/>
        <v/>
      </c>
      <c r="AL85" s="76" t="str">
        <f t="shared" ca="1" si="94"/>
        <v/>
      </c>
      <c r="AM85" s="11">
        <f t="shared" ca="1" si="117"/>
        <v>133.90459363957774</v>
      </c>
      <c r="AN85" s="11">
        <f t="shared" ca="1" si="118"/>
        <v>577.85746668024115</v>
      </c>
      <c r="AO85" s="11">
        <f t="shared" ca="1" si="86"/>
        <v>66.271379207530003</v>
      </c>
      <c r="AP85" s="12">
        <f t="shared" ca="1" si="87"/>
        <v>0.12954101143547034</v>
      </c>
      <c r="AQ85" s="11">
        <f t="shared" ca="1" si="119"/>
        <v>498.4298346871538</v>
      </c>
      <c r="AR85" s="11">
        <f t="shared" ca="1" si="88"/>
        <v>68.70910861812979</v>
      </c>
      <c r="AS85" s="12">
        <f t="shared" ca="1" si="89"/>
        <v>0.15989247073713025</v>
      </c>
      <c r="AT85" s="11">
        <f t="shared" ca="1" si="120"/>
        <v>446.76171507135507</v>
      </c>
      <c r="AU85" s="11">
        <f t="shared" ca="1" si="90"/>
        <v>71.112591359235012</v>
      </c>
      <c r="AV85" s="12">
        <f t="shared" ca="1" si="91"/>
        <v>0.18930588911404564</v>
      </c>
      <c r="AW85" s="10">
        <f t="shared" si="121"/>
        <v>44865</v>
      </c>
      <c r="AX85" s="76">
        <f t="shared" ca="1" si="79"/>
        <v>99415.555432126755</v>
      </c>
      <c r="AY85" s="75">
        <f t="shared" ca="1" si="125"/>
        <v>16.28006262688249</v>
      </c>
      <c r="AZ85" s="75">
        <f t="shared" ca="1" si="122"/>
        <v>9.4214513159459514</v>
      </c>
      <c r="BA85" s="75">
        <f t="shared" ca="1" si="80"/>
        <v>6.8586113109365385</v>
      </c>
      <c r="BB85" s="75">
        <f t="shared" ca="1" si="81"/>
        <v>99408.696820815821</v>
      </c>
      <c r="BC85" s="12"/>
      <c r="BD85" s="12"/>
    </row>
    <row r="86" spans="3:56">
      <c r="C86" s="3">
        <f t="shared" si="101"/>
        <v>7</v>
      </c>
      <c r="D86" s="3">
        <f t="shared" si="110"/>
        <v>6</v>
      </c>
      <c r="E86" s="1">
        <f t="shared" si="111"/>
        <v>2026</v>
      </c>
      <c r="F86" s="3">
        <f t="shared" si="102"/>
        <v>64</v>
      </c>
      <c r="G86" s="3">
        <f t="shared" si="112"/>
        <v>82</v>
      </c>
      <c r="H86" s="4">
        <f t="shared" si="103"/>
        <v>163923.10927106458</v>
      </c>
      <c r="L86" s="25" t="str">
        <f t="shared" ca="1" si="104"/>
        <v/>
      </c>
      <c r="M86" s="4">
        <f t="shared" si="105"/>
        <v>163923.10927106458</v>
      </c>
      <c r="N86" s="5">
        <f t="shared" si="83"/>
        <v>2.18E-2</v>
      </c>
      <c r="O86" s="6">
        <f t="shared" si="106"/>
        <v>5.0499999999999996E-2</v>
      </c>
      <c r="P86" s="4">
        <f t="shared" si="99"/>
        <v>689.84308484906342</v>
      </c>
      <c r="Q86" s="7">
        <f t="shared" si="107"/>
        <v>1147.1423660440405</v>
      </c>
      <c r="R86" s="4">
        <f t="shared" si="113"/>
        <v>457.29928119497708</v>
      </c>
      <c r="S86" s="4">
        <f t="shared" si="100"/>
        <v>163465.80998986959</v>
      </c>
      <c r="T86" s="4">
        <f t="shared" si="114"/>
        <v>0</v>
      </c>
      <c r="U86" s="4">
        <f t="shared" si="108"/>
        <v>163465.80998986959</v>
      </c>
      <c r="AE86" s="91" t="str">
        <f t="shared" ca="1" si="126"/>
        <v/>
      </c>
      <c r="AF86" s="70">
        <f t="shared" si="123"/>
        <v>44866</v>
      </c>
      <c r="AG86" s="10">
        <f t="shared" ref="AG86" si="132">AG85+1</f>
        <v>44866</v>
      </c>
      <c r="AH86" s="29">
        <f ca="1">IF(AG86=TODAY()-1,Loan!F56,IF(AG86&gt;$AB$13,$AB$55,AH85-AI86*AF85+AI86*AF86))</f>
        <v>1.3448763250883289E-2</v>
      </c>
      <c r="AI86" s="87">
        <f t="shared" ca="1" si="93"/>
        <v>5.830388692579431E-5</v>
      </c>
      <c r="AJ86" s="76" t="str">
        <f t="shared" ca="1" si="116"/>
        <v/>
      </c>
      <c r="AK86" s="76" t="str">
        <f t="shared" ca="1" si="124"/>
        <v/>
      </c>
      <c r="AL86" s="76" t="str">
        <f t="shared" ca="1" si="94"/>
        <v/>
      </c>
      <c r="AM86" s="11">
        <f t="shared" ca="1" si="117"/>
        <v>134.48763250883289</v>
      </c>
      <c r="AN86" s="11">
        <f t="shared" ca="1" si="118"/>
        <v>578.15648187640647</v>
      </c>
      <c r="AO86" s="11">
        <f t="shared" ca="1" si="86"/>
        <v>66.570394403695332</v>
      </c>
      <c r="AP86" s="12">
        <f t="shared" ca="1" si="87"/>
        <v>0.13012549800280937</v>
      </c>
      <c r="AQ86" s="11">
        <f t="shared" ca="1" si="119"/>
        <v>498.74181538801548</v>
      </c>
      <c r="AR86" s="11">
        <f t="shared" ca="1" si="88"/>
        <v>69.021089318991471</v>
      </c>
      <c r="AS86" s="12">
        <f t="shared" ca="1" si="89"/>
        <v>0.16061847877429339</v>
      </c>
      <c r="AT86" s="11">
        <f t="shared" ca="1" si="120"/>
        <v>447.0863468601305</v>
      </c>
      <c r="AU86" s="11">
        <f t="shared" ca="1" si="90"/>
        <v>71.437223148010446</v>
      </c>
      <c r="AV86" s="12">
        <f t="shared" ca="1" si="91"/>
        <v>0.19017007797616106</v>
      </c>
      <c r="AW86" s="10">
        <f t="shared" si="121"/>
        <v>44866</v>
      </c>
      <c r="AX86" s="76">
        <f t="shared" ca="1" si="79"/>
        <v>99408.696820815821</v>
      </c>
      <c r="AY86" s="75">
        <f t="shared" ca="1" si="125"/>
        <v>16.286868901766869</v>
      </c>
      <c r="AZ86" s="75">
        <f t="shared" ca="1" si="122"/>
        <v>9.4366805512966625</v>
      </c>
      <c r="BA86" s="75">
        <f t="shared" ca="1" si="80"/>
        <v>6.8501883504702068</v>
      </c>
      <c r="BB86" s="75">
        <f t="shared" ca="1" si="81"/>
        <v>99401.846632465356</v>
      </c>
      <c r="BC86" s="12"/>
      <c r="BD86" s="12"/>
    </row>
    <row r="87" spans="3:56">
      <c r="C87" s="3">
        <f t="shared" si="101"/>
        <v>7</v>
      </c>
      <c r="D87" s="3">
        <f t="shared" si="110"/>
        <v>7</v>
      </c>
      <c r="E87" s="1">
        <f t="shared" si="111"/>
        <v>2026</v>
      </c>
      <c r="F87" s="3">
        <f t="shared" si="102"/>
        <v>64</v>
      </c>
      <c r="G87" s="3">
        <f t="shared" si="112"/>
        <v>83</v>
      </c>
      <c r="H87" s="4">
        <f t="shared" si="103"/>
        <v>163465.80998986959</v>
      </c>
      <c r="L87" s="25" t="str">
        <f t="shared" ca="1" si="104"/>
        <v/>
      </c>
      <c r="M87" s="4">
        <f t="shared" si="105"/>
        <v>163465.80998986959</v>
      </c>
      <c r="N87" s="5">
        <f t="shared" si="83"/>
        <v>2.18E-2</v>
      </c>
      <c r="O87" s="6">
        <f t="shared" si="106"/>
        <v>5.0499999999999996E-2</v>
      </c>
      <c r="P87" s="4">
        <f t="shared" si="99"/>
        <v>687.91861704070118</v>
      </c>
      <c r="Q87" s="7">
        <f t="shared" si="107"/>
        <v>1147.1423660440407</v>
      </c>
      <c r="R87" s="4">
        <f t="shared" si="113"/>
        <v>459.22374900333955</v>
      </c>
      <c r="S87" s="4">
        <f t="shared" si="100"/>
        <v>163006.58624086625</v>
      </c>
      <c r="T87" s="4">
        <f t="shared" si="114"/>
        <v>0</v>
      </c>
      <c r="U87" s="4">
        <f t="shared" si="108"/>
        <v>163006.58624086625</v>
      </c>
      <c r="AE87" s="91" t="str">
        <f t="shared" ca="1" si="126"/>
        <v/>
      </c>
      <c r="AF87" s="70">
        <f t="shared" si="123"/>
        <v>44867</v>
      </c>
      <c r="AG87" s="10">
        <f t="shared" si="98"/>
        <v>44867</v>
      </c>
      <c r="AH87" s="29">
        <f ca="1">IF(AG87=TODAY()-1,Loan!F57,IF(AG87&gt;$AB$13,$AB$55,AH86-AI87*AF86+AI87*AF87))</f>
        <v>1.3507067137809248E-2</v>
      </c>
      <c r="AI87" s="87">
        <f t="shared" ca="1" si="93"/>
        <v>5.8303886925795469E-5</v>
      </c>
      <c r="AJ87" s="76" t="str">
        <f t="shared" ca="1" si="116"/>
        <v/>
      </c>
      <c r="AK87" s="76" t="str">
        <f t="shared" ca="1" si="124"/>
        <v/>
      </c>
      <c r="AL87" s="76" t="str">
        <f t="shared" ca="1" si="94"/>
        <v/>
      </c>
      <c r="AM87" s="11">
        <f t="shared" ca="1" si="117"/>
        <v>135.07067137809247</v>
      </c>
      <c r="AN87" s="11">
        <f t="shared" ca="1" si="118"/>
        <v>578.4555867132907</v>
      </c>
      <c r="AO87" s="11">
        <f t="shared" ca="1" si="86"/>
        <v>66.869499240579557</v>
      </c>
      <c r="AP87" s="12">
        <f t="shared" ca="1" si="87"/>
        <v>0.1307101597913303</v>
      </c>
      <c r="AQ87" s="11">
        <f t="shared" ca="1" si="119"/>
        <v>499.05390519655037</v>
      </c>
      <c r="AR87" s="11">
        <f t="shared" ca="1" si="88"/>
        <v>69.333179127526364</v>
      </c>
      <c r="AS87" s="12">
        <f t="shared" ca="1" si="89"/>
        <v>0.1613447407151353</v>
      </c>
      <c r="AT87" s="11">
        <f t="shared" ca="1" si="120"/>
        <v>447.41110540947176</v>
      </c>
      <c r="AU87" s="11">
        <f t="shared" ca="1" si="90"/>
        <v>71.7619816973517</v>
      </c>
      <c r="AV87" s="12">
        <f t="shared" ca="1" si="91"/>
        <v>0.19103460428233751</v>
      </c>
      <c r="AW87" s="10">
        <f t="shared" si="121"/>
        <v>44867</v>
      </c>
      <c r="AX87" s="76">
        <f t="shared" ca="1" si="79"/>
        <v>99401.846632465356</v>
      </c>
      <c r="AY87" s="75">
        <f t="shared" ca="1" si="125"/>
        <v>16.295924404803614</v>
      </c>
      <c r="AZ87" s="75">
        <f t="shared" ca="1" si="122"/>
        <v>9.4519083964251873</v>
      </c>
      <c r="BA87" s="75">
        <f t="shared" ca="1" si="80"/>
        <v>6.8440160083784267</v>
      </c>
      <c r="BB87" s="75">
        <f t="shared" ca="1" si="81"/>
        <v>99395.002616456972</v>
      </c>
      <c r="BC87" s="12"/>
      <c r="BD87" s="12"/>
    </row>
    <row r="88" spans="3:56">
      <c r="C88" s="3">
        <f t="shared" si="101"/>
        <v>7</v>
      </c>
      <c r="D88" s="3">
        <f t="shared" si="110"/>
        <v>8</v>
      </c>
      <c r="E88" s="1">
        <f t="shared" si="111"/>
        <v>2026</v>
      </c>
      <c r="F88" s="3">
        <f t="shared" si="102"/>
        <v>64</v>
      </c>
      <c r="G88" s="3">
        <f t="shared" si="112"/>
        <v>84</v>
      </c>
      <c r="H88" s="4">
        <f t="shared" si="103"/>
        <v>163006.58624086625</v>
      </c>
      <c r="L88" s="25" t="str">
        <f t="shared" ca="1" si="104"/>
        <v/>
      </c>
      <c r="M88" s="4">
        <f t="shared" si="105"/>
        <v>163006.58624086625</v>
      </c>
      <c r="N88" s="5">
        <f t="shared" si="83"/>
        <v>2.18E-2</v>
      </c>
      <c r="O88" s="6">
        <f t="shared" si="106"/>
        <v>5.0499999999999996E-2</v>
      </c>
      <c r="P88" s="4">
        <f t="shared" si="99"/>
        <v>685.98605043031205</v>
      </c>
      <c r="Q88" s="7">
        <f t="shared" si="107"/>
        <v>1147.1423660440405</v>
      </c>
      <c r="R88" s="4">
        <f t="shared" si="113"/>
        <v>461.15631561372845</v>
      </c>
      <c r="S88" s="4">
        <f t="shared" si="100"/>
        <v>162545.42992525251</v>
      </c>
      <c r="T88" s="4">
        <f t="shared" si="114"/>
        <v>0</v>
      </c>
      <c r="U88" s="4">
        <f t="shared" si="108"/>
        <v>162545.42992525251</v>
      </c>
      <c r="AE88" s="91" t="str">
        <f t="shared" ca="1" si="126"/>
        <v/>
      </c>
      <c r="AF88" s="70">
        <f t="shared" si="123"/>
        <v>44868</v>
      </c>
      <c r="AG88" s="10">
        <f t="shared" si="98"/>
        <v>44868</v>
      </c>
      <c r="AH88" s="29">
        <f ca="1">IF(AG88=TODAY()-1,Loan!F58,IF(AG88&gt;$AB$13,$AB$55,AH87-AI88*AF87+AI88*AF88))</f>
        <v>1.3565371024735207E-2</v>
      </c>
      <c r="AI88" s="87">
        <f t="shared" ca="1" si="93"/>
        <v>5.8303886925794785E-5</v>
      </c>
      <c r="AJ88" s="76" t="str">
        <f t="shared" ca="1" si="116"/>
        <v/>
      </c>
      <c r="AK88" s="76" t="str">
        <f t="shared" ca="1" si="124"/>
        <v/>
      </c>
      <c r="AL88" s="76" t="str">
        <f t="shared" ca="1" si="94"/>
        <v/>
      </c>
      <c r="AM88" s="11">
        <f t="shared" ca="1" si="117"/>
        <v>135.65371024735208</v>
      </c>
      <c r="AN88" s="11">
        <f t="shared" ca="1" si="118"/>
        <v>578.75478117597868</v>
      </c>
      <c r="AO88" s="11">
        <f t="shared" ca="1" si="86"/>
        <v>67.168693703267536</v>
      </c>
      <c r="AP88" s="12">
        <f t="shared" ca="1" si="87"/>
        <v>0.13129499677187845</v>
      </c>
      <c r="AQ88" s="11">
        <f t="shared" ca="1" si="119"/>
        <v>499.36610408492976</v>
      </c>
      <c r="AR88" s="11">
        <f t="shared" ca="1" si="88"/>
        <v>69.645378015905749</v>
      </c>
      <c r="AS88" s="12">
        <f t="shared" ca="1" si="89"/>
        <v>0.16207125649489604</v>
      </c>
      <c r="AT88" s="11">
        <f t="shared" ca="1" si="120"/>
        <v>447.73599067347772</v>
      </c>
      <c r="AU88" s="11">
        <f t="shared" ca="1" si="90"/>
        <v>72.086866961357657</v>
      </c>
      <c r="AV88" s="12">
        <f t="shared" ca="1" si="91"/>
        <v>0.19189946791038348</v>
      </c>
      <c r="AW88" s="10">
        <f t="shared" si="121"/>
        <v>44868</v>
      </c>
      <c r="AX88" s="76">
        <f t="shared" ca="1" si="79"/>
        <v>99395.002616456972</v>
      </c>
      <c r="AY88" s="75">
        <f t="shared" ca="1" si="125"/>
        <v>16.304983095971448</v>
      </c>
      <c r="AZ88" s="75">
        <f t="shared" ca="1" si="122"/>
        <v>9.46713464100179</v>
      </c>
      <c r="BA88" s="75">
        <f t="shared" ca="1" si="80"/>
        <v>6.8378484549696577</v>
      </c>
      <c r="BB88" s="75">
        <f t="shared" ca="1" si="81"/>
        <v>99388.164768001996</v>
      </c>
      <c r="BC88" s="12"/>
      <c r="BD88" s="12"/>
    </row>
    <row r="89" spans="3:56">
      <c r="C89" s="3">
        <f t="shared" si="101"/>
        <v>8</v>
      </c>
      <c r="D89" s="3">
        <f t="shared" si="110"/>
        <v>9</v>
      </c>
      <c r="E89" s="1">
        <f t="shared" si="111"/>
        <v>2026</v>
      </c>
      <c r="F89" s="3">
        <f t="shared" si="102"/>
        <v>64</v>
      </c>
      <c r="G89" s="3">
        <f t="shared" si="112"/>
        <v>85</v>
      </c>
      <c r="H89" s="4">
        <f t="shared" si="103"/>
        <v>162545.42992525251</v>
      </c>
      <c r="L89" s="25" t="str">
        <f t="shared" ca="1" si="104"/>
        <v/>
      </c>
      <c r="M89" s="4">
        <f t="shared" si="105"/>
        <v>162545.42992525251</v>
      </c>
      <c r="N89" s="5">
        <f t="shared" si="83"/>
        <v>2.18E-2</v>
      </c>
      <c r="O89" s="6">
        <f t="shared" si="106"/>
        <v>5.0499999999999996E-2</v>
      </c>
      <c r="P89" s="4">
        <f t="shared" si="99"/>
        <v>684.04535093543757</v>
      </c>
      <c r="Q89" s="7">
        <f t="shared" si="107"/>
        <v>1147.1423660440407</v>
      </c>
      <c r="R89" s="4">
        <f t="shared" si="113"/>
        <v>463.09701510860316</v>
      </c>
      <c r="S89" s="4">
        <f t="shared" si="100"/>
        <v>162082.33291014392</v>
      </c>
      <c r="T89" s="4">
        <f t="shared" si="114"/>
        <v>0</v>
      </c>
      <c r="U89" s="4">
        <f t="shared" si="108"/>
        <v>162082.33291014392</v>
      </c>
      <c r="AE89" s="91" t="str">
        <f t="shared" ca="1" si="126"/>
        <v/>
      </c>
      <c r="AF89" s="70">
        <f t="shared" si="123"/>
        <v>44869</v>
      </c>
      <c r="AG89" s="10">
        <f t="shared" si="98"/>
        <v>44869</v>
      </c>
      <c r="AH89" s="29">
        <f ca="1">IF(AG89=TODAY()-1,Loan!F59,IF(AG89&gt;$AB$13,$AB$55,AH88-AI89*AF88+AI89*AF89))</f>
        <v>1.3623674911661166E-2</v>
      </c>
      <c r="AI89" s="87">
        <f t="shared" ca="1" si="93"/>
        <v>5.83038869257941E-5</v>
      </c>
      <c r="AJ89" s="76" t="str">
        <f t="shared" ca="1" si="116"/>
        <v/>
      </c>
      <c r="AK89" s="76" t="str">
        <f t="shared" ca="1" si="124"/>
        <v/>
      </c>
      <c r="AL89" s="76" t="str">
        <f t="shared" ca="1" si="94"/>
        <v/>
      </c>
      <c r="AM89" s="11">
        <f t="shared" ca="1" si="117"/>
        <v>136.23674911661166</v>
      </c>
      <c r="AN89" s="11">
        <f t="shared" ca="1" si="118"/>
        <v>579.05406524947921</v>
      </c>
      <c r="AO89" s="11">
        <f t="shared" ca="1" si="86"/>
        <v>67.467977776768066</v>
      </c>
      <c r="AP89" s="12">
        <f t="shared" ca="1" si="87"/>
        <v>0.13188000891515042</v>
      </c>
      <c r="AQ89" s="11">
        <f t="shared" ca="1" si="119"/>
        <v>499.67841202524539</v>
      </c>
      <c r="AR89" s="11">
        <f t="shared" ca="1" si="88"/>
        <v>69.957685956221383</v>
      </c>
      <c r="AS89" s="12">
        <f t="shared" ca="1" si="89"/>
        <v>0.1627980260486305</v>
      </c>
      <c r="AT89" s="11">
        <f t="shared" ca="1" si="120"/>
        <v>448.06100260615727</v>
      </c>
      <c r="AU89" s="11">
        <f t="shared" ca="1" si="90"/>
        <v>72.411878894037216</v>
      </c>
      <c r="AV89" s="12">
        <f t="shared" ca="1" si="91"/>
        <v>0.19276466873786799</v>
      </c>
      <c r="AW89" s="10">
        <f t="shared" si="121"/>
        <v>44869</v>
      </c>
      <c r="AX89" s="76">
        <f t="shared" ca="1" si="79"/>
        <v>99388.164768001996</v>
      </c>
      <c r="AY89" s="75">
        <f t="shared" ca="1" si="125"/>
        <v>16.314044974774927</v>
      </c>
      <c r="AZ89" s="75">
        <f t="shared" ca="1" si="122"/>
        <v>9.4823592875274443</v>
      </c>
      <c r="BA89" s="75">
        <f t="shared" ca="1" si="80"/>
        <v>6.8316856872474823</v>
      </c>
      <c r="BB89" s="75">
        <f t="shared" ca="1" si="81"/>
        <v>99381.333082314755</v>
      </c>
      <c r="BC89" s="12"/>
      <c r="BD89" s="12"/>
    </row>
    <row r="90" spans="3:56">
      <c r="C90" s="3">
        <f t="shared" si="101"/>
        <v>8</v>
      </c>
      <c r="D90" s="3">
        <f t="shared" si="110"/>
        <v>10</v>
      </c>
      <c r="E90" s="1">
        <f t="shared" si="111"/>
        <v>2026</v>
      </c>
      <c r="F90" s="3">
        <f t="shared" si="102"/>
        <v>64</v>
      </c>
      <c r="G90" s="3">
        <f t="shared" si="112"/>
        <v>86</v>
      </c>
      <c r="H90" s="4">
        <f t="shared" si="103"/>
        <v>162082.33291014392</v>
      </c>
      <c r="L90" s="25" t="str">
        <f t="shared" ca="1" si="104"/>
        <v/>
      </c>
      <c r="M90" s="4">
        <f t="shared" si="105"/>
        <v>162082.33291014392</v>
      </c>
      <c r="N90" s="5">
        <f t="shared" si="83"/>
        <v>2.18E-2</v>
      </c>
      <c r="O90" s="6">
        <f t="shared" si="106"/>
        <v>5.0499999999999996E-2</v>
      </c>
      <c r="P90" s="4">
        <f t="shared" si="99"/>
        <v>682.0964843301889</v>
      </c>
      <c r="Q90" s="7">
        <f t="shared" si="107"/>
        <v>1147.142366044041</v>
      </c>
      <c r="R90" s="4">
        <f t="shared" si="113"/>
        <v>465.04588171385205</v>
      </c>
      <c r="S90" s="4">
        <f t="shared" si="100"/>
        <v>161617.28702843006</v>
      </c>
      <c r="T90" s="4">
        <f t="shared" si="114"/>
        <v>0</v>
      </c>
      <c r="U90" s="4">
        <f t="shared" si="108"/>
        <v>161617.28702843006</v>
      </c>
      <c r="AE90" s="91" t="str">
        <f t="shared" ca="1" si="126"/>
        <v/>
      </c>
      <c r="AF90" s="70">
        <f t="shared" si="123"/>
        <v>44872</v>
      </c>
      <c r="AG90" s="10">
        <f t="shared" ref="AG90" si="133">AG89+3</f>
        <v>44872</v>
      </c>
      <c r="AH90" s="29">
        <f ca="1">IF(AG90=TODAY()-1,Loan!F60,IF(AG90&gt;$AB$13,$AB$55,AH89-AI90*AF89+AI90*AF90))</f>
        <v>1.3798586572438598E-2</v>
      </c>
      <c r="AI90" s="87">
        <f t="shared" ca="1" si="93"/>
        <v>5.8303886925793409E-5</v>
      </c>
      <c r="AJ90" s="76" t="str">
        <f t="shared" ca="1" si="116"/>
        <v/>
      </c>
      <c r="AK90" s="76" t="str">
        <f t="shared" ca="1" si="124"/>
        <v/>
      </c>
      <c r="AL90" s="76" t="str">
        <f t="shared" ca="1" si="94"/>
        <v/>
      </c>
      <c r="AM90" s="11">
        <f t="shared" ca="1" si="117"/>
        <v>137.98586572438597</v>
      </c>
      <c r="AN90" s="11">
        <f t="shared" ca="1" si="118"/>
        <v>579.95245498480199</v>
      </c>
      <c r="AO90" s="11">
        <f t="shared" ca="1" si="86"/>
        <v>68.366367512090847</v>
      </c>
      <c r="AP90" s="12">
        <f t="shared" ca="1" si="87"/>
        <v>0.13363609602799767</v>
      </c>
      <c r="AQ90" s="11">
        <f t="shared" ca="1" si="119"/>
        <v>500.6159898783107</v>
      </c>
      <c r="AR90" s="11">
        <f t="shared" ca="1" si="88"/>
        <v>70.895263809286689</v>
      </c>
      <c r="AS90" s="12">
        <f t="shared" ca="1" si="89"/>
        <v>0.16497985670325596</v>
      </c>
      <c r="AT90" s="11">
        <f t="shared" ca="1" si="120"/>
        <v>449.03679795560356</v>
      </c>
      <c r="AU90" s="11">
        <f t="shared" ca="1" si="90"/>
        <v>73.387674243483502</v>
      </c>
      <c r="AV90" s="12">
        <f t="shared" ca="1" si="91"/>
        <v>0.19536229319071802</v>
      </c>
      <c r="AW90" s="10">
        <f t="shared" si="121"/>
        <v>44872</v>
      </c>
      <c r="AX90" s="76">
        <f t="shared" ca="1" si="79"/>
        <v>99381.333082314755</v>
      </c>
      <c r="AY90" s="75">
        <f t="shared" ca="1" si="125"/>
        <v>16.345735292591094</v>
      </c>
      <c r="AZ90" s="75">
        <f t="shared" ca="1" si="122"/>
        <v>9.5293320262075323</v>
      </c>
      <c r="BA90" s="75">
        <f t="shared" ca="1" si="80"/>
        <v>6.8164032663835616</v>
      </c>
      <c r="BB90" s="75">
        <f t="shared" ca="1" si="81"/>
        <v>99374.516679048378</v>
      </c>
      <c r="BC90" s="12"/>
      <c r="BD90" s="12"/>
    </row>
    <row r="91" spans="3:56">
      <c r="C91" s="3">
        <f t="shared" si="101"/>
        <v>8</v>
      </c>
      <c r="D91" s="3">
        <f t="shared" si="110"/>
        <v>11</v>
      </c>
      <c r="E91" s="1">
        <f t="shared" si="111"/>
        <v>2026</v>
      </c>
      <c r="F91" s="3">
        <f t="shared" si="102"/>
        <v>64</v>
      </c>
      <c r="G91" s="3">
        <f t="shared" si="112"/>
        <v>87</v>
      </c>
      <c r="H91" s="4">
        <f t="shared" si="103"/>
        <v>161617.28702843006</v>
      </c>
      <c r="L91" s="25" t="str">
        <f t="shared" ca="1" si="104"/>
        <v/>
      </c>
      <c r="M91" s="4">
        <f t="shared" si="105"/>
        <v>161617.28702843006</v>
      </c>
      <c r="N91" s="5">
        <f t="shared" si="83"/>
        <v>2.18E-2</v>
      </c>
      <c r="O91" s="6">
        <f t="shared" si="106"/>
        <v>5.0499999999999996E-2</v>
      </c>
      <c r="P91" s="4">
        <f t="shared" si="99"/>
        <v>680.13941624464314</v>
      </c>
      <c r="Q91" s="7">
        <f t="shared" si="107"/>
        <v>1147.1423660440405</v>
      </c>
      <c r="R91" s="4">
        <f t="shared" si="113"/>
        <v>467.00294979939736</v>
      </c>
      <c r="S91" s="4">
        <f t="shared" si="100"/>
        <v>161150.28407863065</v>
      </c>
      <c r="T91" s="4">
        <f t="shared" si="114"/>
        <v>0</v>
      </c>
      <c r="U91" s="4">
        <f t="shared" si="108"/>
        <v>161150.28407863065</v>
      </c>
      <c r="AE91" s="91" t="str">
        <f t="shared" ca="1" si="126"/>
        <v/>
      </c>
      <c r="AF91" s="70">
        <f t="shared" si="123"/>
        <v>44873</v>
      </c>
      <c r="AG91" s="10">
        <f t="shared" ref="AG91" si="134">AG90+1</f>
        <v>44873</v>
      </c>
      <c r="AH91" s="29">
        <f ca="1">IF(AG91=TODAY()-1,Loan!F61,IF(AG91&gt;$AB$13,$AB$55,AH90-AI91*AF90+AI91*AF91))</f>
        <v>1.3856890459364113E-2</v>
      </c>
      <c r="AI91" s="87">
        <f t="shared" ca="1" si="93"/>
        <v>5.8303886925793185E-5</v>
      </c>
      <c r="AJ91" s="76" t="str">
        <f t="shared" ca="1" si="116"/>
        <v/>
      </c>
      <c r="AK91" s="76" t="str">
        <f t="shared" ca="1" si="124"/>
        <v/>
      </c>
      <c r="AL91" s="76" t="str">
        <f t="shared" ca="1" si="94"/>
        <v/>
      </c>
      <c r="AM91" s="11">
        <f t="shared" ca="1" si="117"/>
        <v>138.56890459364112</v>
      </c>
      <c r="AN91" s="11">
        <f t="shared" ca="1" si="118"/>
        <v>580.25209735137946</v>
      </c>
      <c r="AO91" s="11">
        <f t="shared" ca="1" si="86"/>
        <v>68.666009878668319</v>
      </c>
      <c r="AP91" s="12">
        <f t="shared" ca="1" si="87"/>
        <v>0.13422180852862048</v>
      </c>
      <c r="AQ91" s="11">
        <f t="shared" ca="1" si="119"/>
        <v>500.92873374667727</v>
      </c>
      <c r="AR91" s="11">
        <f t="shared" ca="1" si="88"/>
        <v>71.208007677653256</v>
      </c>
      <c r="AS91" s="12">
        <f t="shared" ca="1" si="89"/>
        <v>0.1657076407020113</v>
      </c>
      <c r="AT91" s="11">
        <f t="shared" ca="1" si="120"/>
        <v>449.3623161020576</v>
      </c>
      <c r="AU91" s="11">
        <f t="shared" ca="1" si="90"/>
        <v>73.713192389937547</v>
      </c>
      <c r="AV91" s="12">
        <f t="shared" ca="1" si="91"/>
        <v>0.19622884158896081</v>
      </c>
      <c r="AW91" s="10">
        <f t="shared" si="121"/>
        <v>44873</v>
      </c>
      <c r="AX91" s="76">
        <f t="shared" ca="1" si="79"/>
        <v>99374.516679048378</v>
      </c>
      <c r="AY91" s="75">
        <f t="shared" ca="1" si="125"/>
        <v>16.352569169254572</v>
      </c>
      <c r="AZ91" s="75">
        <f t="shared" ca="1" si="122"/>
        <v>9.5445521799168525</v>
      </c>
      <c r="BA91" s="75">
        <f t="shared" ca="1" si="80"/>
        <v>6.8080169893377196</v>
      </c>
      <c r="BB91" s="75">
        <f t="shared" ca="1" si="81"/>
        <v>99367.708662059042</v>
      </c>
      <c r="BC91" s="12"/>
      <c r="BD91" s="12"/>
    </row>
    <row r="92" spans="3:56">
      <c r="C92" s="3">
        <f t="shared" si="101"/>
        <v>8</v>
      </c>
      <c r="D92" s="3">
        <f t="shared" si="110"/>
        <v>12</v>
      </c>
      <c r="E92" s="1">
        <f t="shared" si="111"/>
        <v>2026</v>
      </c>
      <c r="F92" s="3">
        <f t="shared" si="102"/>
        <v>64</v>
      </c>
      <c r="G92" s="3">
        <f t="shared" si="112"/>
        <v>88</v>
      </c>
      <c r="H92" s="4">
        <f t="shared" si="103"/>
        <v>161150.28407863065</v>
      </c>
      <c r="L92" s="25" t="str">
        <f t="shared" ca="1" si="104"/>
        <v/>
      </c>
      <c r="M92" s="4">
        <f t="shared" si="105"/>
        <v>161150.28407863065</v>
      </c>
      <c r="N92" s="5">
        <f t="shared" si="83"/>
        <v>2.18E-2</v>
      </c>
      <c r="O92" s="6">
        <f t="shared" si="106"/>
        <v>5.0499999999999996E-2</v>
      </c>
      <c r="P92" s="4">
        <f t="shared" si="99"/>
        <v>678.17411216423727</v>
      </c>
      <c r="Q92" s="7">
        <f t="shared" si="107"/>
        <v>1147.1423660440405</v>
      </c>
      <c r="R92" s="4">
        <f t="shared" si="113"/>
        <v>468.96825387980323</v>
      </c>
      <c r="S92" s="4">
        <f t="shared" si="100"/>
        <v>160681.31582475084</v>
      </c>
      <c r="T92" s="4">
        <f t="shared" si="114"/>
        <v>0</v>
      </c>
      <c r="U92" s="4">
        <f t="shared" si="108"/>
        <v>160681.31582475084</v>
      </c>
      <c r="AE92" s="91" t="str">
        <f t="shared" ca="1" si="126"/>
        <v/>
      </c>
      <c r="AF92" s="70">
        <f t="shared" si="123"/>
        <v>44874</v>
      </c>
      <c r="AG92" s="10">
        <f t="shared" si="98"/>
        <v>44874</v>
      </c>
      <c r="AH92" s="29">
        <f ca="1">IF(AG92=TODAY()-1,Loan!F62,IF(AG92&gt;$AB$13,$AB$55,AH91-AI92*AF91+AI92*AF92))</f>
        <v>1.3915194346289628E-2</v>
      </c>
      <c r="AI92" s="87">
        <f t="shared" ca="1" si="93"/>
        <v>5.8303886925794378E-5</v>
      </c>
      <c r="AJ92" s="76" t="str">
        <f t="shared" ca="1" si="116"/>
        <v/>
      </c>
      <c r="AK92" s="76" t="str">
        <f t="shared" ca="1" si="124"/>
        <v/>
      </c>
      <c r="AL92" s="76" t="str">
        <f t="shared" ca="1" si="94"/>
        <v/>
      </c>
      <c r="AM92" s="11">
        <f t="shared" ca="1" si="117"/>
        <v>139.15194346289627</v>
      </c>
      <c r="AN92" s="11">
        <f t="shared" ca="1" si="118"/>
        <v>580.5518292535761</v>
      </c>
      <c r="AO92" s="11">
        <f t="shared" ca="1" si="86"/>
        <v>68.96574178086496</v>
      </c>
      <c r="AP92" s="12">
        <f t="shared" ca="1" si="87"/>
        <v>0.13480769604498619</v>
      </c>
      <c r="AQ92" s="11">
        <f t="shared" ca="1" si="119"/>
        <v>501.24158652694746</v>
      </c>
      <c r="AR92" s="11">
        <f t="shared" ca="1" si="88"/>
        <v>71.520860457923447</v>
      </c>
      <c r="AS92" s="12">
        <f t="shared" ca="1" si="89"/>
        <v>0.16643567814887147</v>
      </c>
      <c r="AT92" s="11">
        <f t="shared" ca="1" si="120"/>
        <v>449.68796068644752</v>
      </c>
      <c r="AU92" s="11">
        <f t="shared" ca="1" si="90"/>
        <v>74.038836974327467</v>
      </c>
      <c r="AV92" s="12">
        <f t="shared" ca="1" si="91"/>
        <v>0.19709572657240476</v>
      </c>
      <c r="AW92" s="10">
        <f t="shared" si="121"/>
        <v>44874</v>
      </c>
      <c r="AX92" s="76">
        <f t="shared" ca="1" si="79"/>
        <v>99367.708662059042</v>
      </c>
      <c r="AY92" s="75">
        <f t="shared" ca="1" si="125"/>
        <v>16.361648224674394</v>
      </c>
      <c r="AZ92" s="75">
        <f t="shared" ca="1" si="122"/>
        <v>9.559770962777236</v>
      </c>
      <c r="BA92" s="75">
        <f t="shared" ca="1" si="80"/>
        <v>6.8018772618971575</v>
      </c>
      <c r="BB92" s="75">
        <f t="shared" ca="1" si="81"/>
        <v>99360.906784797146</v>
      </c>
      <c r="BC92" s="12"/>
      <c r="BD92" s="12"/>
    </row>
    <row r="93" spans="3:56">
      <c r="C93" s="3">
        <f t="shared" si="101"/>
        <v>8</v>
      </c>
      <c r="D93" s="3">
        <f t="shared" si="110"/>
        <v>1</v>
      </c>
      <c r="E93" s="1">
        <f t="shared" si="111"/>
        <v>2027</v>
      </c>
      <c r="F93" s="3">
        <f t="shared" si="102"/>
        <v>64</v>
      </c>
      <c r="G93" s="3">
        <f t="shared" si="112"/>
        <v>89</v>
      </c>
      <c r="H93" s="4">
        <f t="shared" si="103"/>
        <v>160681.31582475084</v>
      </c>
      <c r="L93" s="25" t="str">
        <f t="shared" ca="1" si="104"/>
        <v/>
      </c>
      <c r="M93" s="4">
        <f t="shared" si="105"/>
        <v>160681.31582475084</v>
      </c>
      <c r="N93" s="5">
        <f t="shared" si="83"/>
        <v>2.18E-2</v>
      </c>
      <c r="O93" s="6">
        <f t="shared" si="106"/>
        <v>5.0499999999999996E-2</v>
      </c>
      <c r="P93" s="4">
        <f t="shared" si="99"/>
        <v>676.20053742915968</v>
      </c>
      <c r="Q93" s="7">
        <f t="shared" si="107"/>
        <v>1147.1423660440407</v>
      </c>
      <c r="R93" s="4">
        <f t="shared" si="113"/>
        <v>470.94182861488105</v>
      </c>
      <c r="S93" s="4">
        <f t="shared" si="100"/>
        <v>160210.37399613595</v>
      </c>
      <c r="T93" s="4">
        <f t="shared" si="114"/>
        <v>0</v>
      </c>
      <c r="U93" s="4">
        <f t="shared" si="108"/>
        <v>160210.37399613595</v>
      </c>
      <c r="AE93" s="91" t="str">
        <f t="shared" ca="1" si="126"/>
        <v/>
      </c>
      <c r="AF93" s="70">
        <f t="shared" si="123"/>
        <v>44875</v>
      </c>
      <c r="AG93" s="10">
        <f t="shared" si="98"/>
        <v>44875</v>
      </c>
      <c r="AH93" s="29">
        <f ca="1">IF(AG93=TODAY()-1,Loan!F63,IF(AG93&gt;$AB$13,$AB$55,AH92-AI93*AF92+AI93*AF93))</f>
        <v>1.3973498233215587E-2</v>
      </c>
      <c r="AI93" s="87">
        <f t="shared" ca="1" si="93"/>
        <v>5.8303886925795577E-5</v>
      </c>
      <c r="AJ93" s="76" t="str">
        <f t="shared" ca="1" si="116"/>
        <v/>
      </c>
      <c r="AK93" s="76" t="str">
        <f t="shared" ca="1" si="124"/>
        <v/>
      </c>
      <c r="AL93" s="76" t="str">
        <f t="shared" ca="1" si="94"/>
        <v/>
      </c>
      <c r="AM93" s="11">
        <f t="shared" ca="1" si="117"/>
        <v>139.73498233215588</v>
      </c>
      <c r="AN93" s="11">
        <f t="shared" ca="1" si="118"/>
        <v>580.85165067628645</v>
      </c>
      <c r="AO93" s="11">
        <f t="shared" ca="1" si="86"/>
        <v>69.265563203575311</v>
      </c>
      <c r="AP93" s="12">
        <f t="shared" ca="1" si="87"/>
        <v>0.1353937585475681</v>
      </c>
      <c r="AQ93" s="11">
        <f t="shared" ca="1" si="119"/>
        <v>501.55454819100265</v>
      </c>
      <c r="AR93" s="11">
        <f t="shared" ca="1" si="88"/>
        <v>71.833822121978642</v>
      </c>
      <c r="AS93" s="12">
        <f t="shared" ca="1" si="89"/>
        <v>0.16716396897840183</v>
      </c>
      <c r="AT93" s="11">
        <f t="shared" ca="1" si="120"/>
        <v>450.01373166245895</v>
      </c>
      <c r="AU93" s="11">
        <f t="shared" ca="1" si="90"/>
        <v>74.364607950338893</v>
      </c>
      <c r="AV93" s="12">
        <f t="shared" ca="1" si="91"/>
        <v>0.19796294801775832</v>
      </c>
      <c r="AW93" s="10">
        <f t="shared" si="121"/>
        <v>44875</v>
      </c>
      <c r="AX93" s="76">
        <f t="shared" ca="1" si="79"/>
        <v>99360.906784797146</v>
      </c>
      <c r="AY93" s="75">
        <f t="shared" ca="1" si="125"/>
        <v>16.370730465008023</v>
      </c>
      <c r="AZ93" s="75">
        <f t="shared" ca="1" si="122"/>
        <v>9.5749881623171547</v>
      </c>
      <c r="BA93" s="75">
        <f t="shared" ca="1" si="80"/>
        <v>6.7957423026908685</v>
      </c>
      <c r="BB93" s="75">
        <f t="shared" ca="1" si="81"/>
        <v>99354.111042494449</v>
      </c>
      <c r="BC93" s="12"/>
      <c r="BD93" s="12"/>
    </row>
    <row r="94" spans="3:56">
      <c r="C94" s="3">
        <f t="shared" si="101"/>
        <v>8</v>
      </c>
      <c r="D94" s="3">
        <f t="shared" si="110"/>
        <v>2</v>
      </c>
      <c r="E94" s="1">
        <f t="shared" si="111"/>
        <v>2027</v>
      </c>
      <c r="F94" s="3">
        <f t="shared" si="102"/>
        <v>65</v>
      </c>
      <c r="G94" s="3">
        <f t="shared" si="112"/>
        <v>90</v>
      </c>
      <c r="H94" s="4">
        <f t="shared" si="103"/>
        <v>160210.37399613595</v>
      </c>
      <c r="L94" s="25" t="str">
        <f t="shared" ca="1" si="104"/>
        <v/>
      </c>
      <c r="M94" s="4">
        <f t="shared" si="105"/>
        <v>160210.37399613595</v>
      </c>
      <c r="N94" s="5">
        <f t="shared" si="83"/>
        <v>2.18E-2</v>
      </c>
      <c r="O94" s="6">
        <f t="shared" si="106"/>
        <v>5.0499999999999996E-2</v>
      </c>
      <c r="P94" s="4">
        <f t="shared" si="99"/>
        <v>674.21865723373878</v>
      </c>
      <c r="Q94" s="7">
        <f t="shared" si="107"/>
        <v>1147.1423660440407</v>
      </c>
      <c r="R94" s="4">
        <f t="shared" si="113"/>
        <v>472.92370881030195</v>
      </c>
      <c r="S94" s="4">
        <f t="shared" si="100"/>
        <v>159737.45028732566</v>
      </c>
      <c r="T94" s="4">
        <f t="shared" si="114"/>
        <v>0</v>
      </c>
      <c r="U94" s="4">
        <f t="shared" si="108"/>
        <v>159737.45028732566</v>
      </c>
      <c r="AE94" s="91" t="str">
        <f t="shared" ca="1" si="126"/>
        <v/>
      </c>
      <c r="AF94" s="70">
        <f t="shared" si="123"/>
        <v>44876</v>
      </c>
      <c r="AG94" s="10">
        <f t="shared" si="98"/>
        <v>44876</v>
      </c>
      <c r="AH94" s="29">
        <f ca="1">IF(AG94=TODAY()-1,Loan!F64,IF(AG94&gt;$AB$13,$AB$55,AH93-AI94*AF93+AI94*AF94))</f>
        <v>1.4031802120141545E-2</v>
      </c>
      <c r="AI94" s="87">
        <f t="shared" ca="1" si="93"/>
        <v>5.8303886925794873E-5</v>
      </c>
      <c r="AJ94" s="76" t="str">
        <f t="shared" ca="1" si="116"/>
        <v/>
      </c>
      <c r="AK94" s="76" t="str">
        <f t="shared" ca="1" si="124"/>
        <v/>
      </c>
      <c r="AL94" s="76" t="str">
        <f t="shared" ca="1" si="94"/>
        <v/>
      </c>
      <c r="AM94" s="11">
        <f t="shared" ca="1" si="117"/>
        <v>140.31802120141546</v>
      </c>
      <c r="AN94" s="11">
        <f t="shared" ca="1" si="118"/>
        <v>581.15156160435617</v>
      </c>
      <c r="AO94" s="11">
        <f t="shared" ca="1" si="86"/>
        <v>69.565474131645033</v>
      </c>
      <c r="AP94" s="12">
        <f t="shared" ca="1" si="87"/>
        <v>0.13597999600674396</v>
      </c>
      <c r="AQ94" s="11">
        <f t="shared" ca="1" si="119"/>
        <v>501.86761871066341</v>
      </c>
      <c r="AR94" s="11">
        <f t="shared" ca="1" si="88"/>
        <v>72.146892641639397</v>
      </c>
      <c r="AS94" s="12">
        <f t="shared" ca="1" si="89"/>
        <v>0.16789251312502618</v>
      </c>
      <c r="AT94" s="11">
        <f t="shared" ca="1" si="120"/>
        <v>450.33962898370231</v>
      </c>
      <c r="AU94" s="11">
        <f t="shared" ca="1" si="90"/>
        <v>74.690505271582253</v>
      </c>
      <c r="AV94" s="12">
        <f t="shared" ca="1" si="91"/>
        <v>0.19883050580152975</v>
      </c>
      <c r="AW94" s="10">
        <f t="shared" si="121"/>
        <v>44876</v>
      </c>
      <c r="AX94" s="76">
        <f t="shared" ca="1" si="79"/>
        <v>99354.111042494449</v>
      </c>
      <c r="AY94" s="75">
        <f t="shared" ca="1" si="125"/>
        <v>16.379815889719069</v>
      </c>
      <c r="AZ94" s="75">
        <f t="shared" ca="1" si="122"/>
        <v>9.5902037810184524</v>
      </c>
      <c r="BA94" s="75">
        <f t="shared" ca="1" si="80"/>
        <v>6.7896121087006165</v>
      </c>
      <c r="BB94" s="75">
        <f t="shared" ca="1" si="81"/>
        <v>99347.321430385753</v>
      </c>
      <c r="BC94" s="12"/>
      <c r="BD94" s="12"/>
    </row>
    <row r="95" spans="3:56">
      <c r="C95" s="3">
        <f t="shared" si="101"/>
        <v>8</v>
      </c>
      <c r="D95" s="3">
        <f t="shared" si="110"/>
        <v>3</v>
      </c>
      <c r="E95" s="1">
        <f t="shared" si="111"/>
        <v>2027</v>
      </c>
      <c r="F95" s="3">
        <f t="shared" si="102"/>
        <v>65</v>
      </c>
      <c r="G95" s="3">
        <f t="shared" si="112"/>
        <v>91</v>
      </c>
      <c r="H95" s="4">
        <f t="shared" si="103"/>
        <v>159737.45028732566</v>
      </c>
      <c r="L95" s="25" t="str">
        <f t="shared" ca="1" si="104"/>
        <v/>
      </c>
      <c r="M95" s="4">
        <f t="shared" si="105"/>
        <v>159737.45028732566</v>
      </c>
      <c r="N95" s="5">
        <f t="shared" si="83"/>
        <v>2.18E-2</v>
      </c>
      <c r="O95" s="6">
        <f t="shared" si="106"/>
        <v>5.0499999999999996E-2</v>
      </c>
      <c r="P95" s="4">
        <f t="shared" si="99"/>
        <v>672.22843662582875</v>
      </c>
      <c r="Q95" s="7">
        <f t="shared" si="107"/>
        <v>1147.142366044041</v>
      </c>
      <c r="R95" s="4">
        <f t="shared" si="113"/>
        <v>474.91392941821221</v>
      </c>
      <c r="S95" s="4">
        <f t="shared" si="100"/>
        <v>159262.53635790743</v>
      </c>
      <c r="T95" s="4">
        <f t="shared" si="114"/>
        <v>0</v>
      </c>
      <c r="U95" s="4">
        <f t="shared" si="108"/>
        <v>159262.53635790743</v>
      </c>
      <c r="AE95" s="91" t="str">
        <f t="shared" ca="1" si="126"/>
        <v/>
      </c>
      <c r="AF95" s="70">
        <f t="shared" si="123"/>
        <v>44879</v>
      </c>
      <c r="AG95" s="10">
        <f t="shared" ref="AG95" si="135">AG94+3</f>
        <v>44879</v>
      </c>
      <c r="AH95" s="29">
        <f ca="1">IF(AG95=TODAY()-1,Loan!F65,IF(AG95&gt;$AB$13,$AB$55,AH94-AI95*AF94+AI95*AF95))</f>
        <v>1.4206713780918978E-2</v>
      </c>
      <c r="AI95" s="87">
        <f t="shared" ca="1" si="93"/>
        <v>5.8303886925794161E-5</v>
      </c>
      <c r="AJ95" s="76" t="str">
        <f t="shared" ca="1" si="116"/>
        <v/>
      </c>
      <c r="AK95" s="76" t="str">
        <f t="shared" ca="1" si="124"/>
        <v/>
      </c>
      <c r="AL95" s="76" t="str">
        <f t="shared" ca="1" si="94"/>
        <v/>
      </c>
      <c r="AM95" s="11">
        <f t="shared" ca="1" si="117"/>
        <v>142.06713780918977</v>
      </c>
      <c r="AN95" s="11">
        <f t="shared" ca="1" si="118"/>
        <v>582.05183126940642</v>
      </c>
      <c r="AO95" s="11">
        <f t="shared" ca="1" si="86"/>
        <v>70.465743796695278</v>
      </c>
      <c r="AP95" s="12">
        <f t="shared" ca="1" si="87"/>
        <v>0.1377397578280587</v>
      </c>
      <c r="AQ95" s="11">
        <f t="shared" ca="1" si="119"/>
        <v>502.80748312137399</v>
      </c>
      <c r="AR95" s="11">
        <f t="shared" ca="1" si="88"/>
        <v>73.086757052349981</v>
      </c>
      <c r="AS95" s="12">
        <f t="shared" ca="1" si="89"/>
        <v>0.17007966481144407</v>
      </c>
      <c r="AT95" s="11">
        <f t="shared" ca="1" si="120"/>
        <v>451.31807855445896</v>
      </c>
      <c r="AU95" s="11">
        <f t="shared" ca="1" si="90"/>
        <v>75.668954842338906</v>
      </c>
      <c r="AV95" s="12">
        <f t="shared" ca="1" si="91"/>
        <v>0.20143519594718409</v>
      </c>
      <c r="AW95" s="10">
        <f t="shared" si="121"/>
        <v>44879</v>
      </c>
      <c r="AX95" s="76">
        <f t="shared" ca="1" si="79"/>
        <v>99347.321430385753</v>
      </c>
      <c r="AY95" s="75">
        <f t="shared" ca="1" si="125"/>
        <v>16.411568681153216</v>
      </c>
      <c r="AZ95" s="75">
        <f t="shared" ca="1" si="122"/>
        <v>9.6371566432510338</v>
      </c>
      <c r="BA95" s="75">
        <f t="shared" ca="1" si="80"/>
        <v>6.7744120379021826</v>
      </c>
      <c r="BB95" s="75">
        <f t="shared" ca="1" si="81"/>
        <v>99340.547018347846</v>
      </c>
      <c r="BC95" s="12"/>
      <c r="BD95" s="12"/>
    </row>
    <row r="96" spans="3:56">
      <c r="C96" s="3">
        <f t="shared" si="101"/>
        <v>8</v>
      </c>
      <c r="D96" s="3">
        <f t="shared" si="110"/>
        <v>4</v>
      </c>
      <c r="E96" s="1">
        <f t="shared" si="111"/>
        <v>2027</v>
      </c>
      <c r="F96" s="3">
        <f t="shared" si="102"/>
        <v>65</v>
      </c>
      <c r="G96" s="3">
        <f t="shared" si="112"/>
        <v>92</v>
      </c>
      <c r="H96" s="4">
        <f t="shared" si="103"/>
        <v>159262.53635790743</v>
      </c>
      <c r="L96" s="25" t="str">
        <f t="shared" ca="1" si="104"/>
        <v/>
      </c>
      <c r="M96" s="4">
        <f t="shared" si="105"/>
        <v>159262.53635790743</v>
      </c>
      <c r="N96" s="5">
        <f t="shared" si="83"/>
        <v>2.18E-2</v>
      </c>
      <c r="O96" s="6">
        <f t="shared" si="106"/>
        <v>5.0499999999999996E-2</v>
      </c>
      <c r="P96" s="4">
        <f t="shared" si="99"/>
        <v>670.22984050619368</v>
      </c>
      <c r="Q96" s="7">
        <f t="shared" si="107"/>
        <v>1147.142366044041</v>
      </c>
      <c r="R96" s="4">
        <f t="shared" si="113"/>
        <v>476.91252553784727</v>
      </c>
      <c r="S96" s="4">
        <f t="shared" si="100"/>
        <v>158785.62383236957</v>
      </c>
      <c r="T96" s="4">
        <f t="shared" si="114"/>
        <v>0</v>
      </c>
      <c r="U96" s="4">
        <f t="shared" si="108"/>
        <v>158785.62383236957</v>
      </c>
      <c r="AE96" s="91" t="str">
        <f t="shared" ca="1" si="126"/>
        <v/>
      </c>
      <c r="AF96" s="70">
        <f t="shared" si="123"/>
        <v>44880</v>
      </c>
      <c r="AG96" s="10">
        <f t="shared" ref="AG96" si="136">AG95+1</f>
        <v>44880</v>
      </c>
      <c r="AH96" s="29">
        <f ca="1">IF(AG96=TODAY()-1,Loan!F66,IF(AG96&gt;$AB$13,$AB$55,AH95-AI96*AF95+AI96*AF96))</f>
        <v>1.4265017667844493E-2</v>
      </c>
      <c r="AI96" s="87">
        <f t="shared" ca="1" si="93"/>
        <v>5.8303886925793944E-5</v>
      </c>
      <c r="AJ96" s="76" t="str">
        <f t="shared" ca="1" si="116"/>
        <v/>
      </c>
      <c r="AK96" s="76" t="str">
        <f t="shared" ca="1" si="124"/>
        <v/>
      </c>
      <c r="AL96" s="76" t="str">
        <f t="shared" ca="1" si="94"/>
        <v/>
      </c>
      <c r="AM96" s="11">
        <f t="shared" ca="1" si="117"/>
        <v>142.65017667844492</v>
      </c>
      <c r="AN96" s="11">
        <f t="shared" ca="1" si="118"/>
        <v>582.35210006737168</v>
      </c>
      <c r="AO96" s="11">
        <f t="shared" ca="1" si="86"/>
        <v>70.766012594660538</v>
      </c>
      <c r="AP96" s="12">
        <f t="shared" ca="1" si="87"/>
        <v>0.13832669481739046</v>
      </c>
      <c r="AQ96" s="11">
        <f t="shared" ca="1" si="119"/>
        <v>503.1209887812725</v>
      </c>
      <c r="AR96" s="11">
        <f t="shared" ca="1" si="88"/>
        <v>73.400262712248491</v>
      </c>
      <c r="AS96" s="12">
        <f t="shared" ca="1" si="89"/>
        <v>0.17080922156977496</v>
      </c>
      <c r="AT96" s="11">
        <f t="shared" ca="1" si="120"/>
        <v>451.64448079191345</v>
      </c>
      <c r="AU96" s="11">
        <f t="shared" ca="1" si="90"/>
        <v>75.995357079793393</v>
      </c>
      <c r="AV96" s="12">
        <f t="shared" ca="1" si="91"/>
        <v>0.20230409784752401</v>
      </c>
      <c r="AW96" s="10">
        <f t="shared" si="121"/>
        <v>44880</v>
      </c>
      <c r="AX96" s="76">
        <f t="shared" ca="1" si="79"/>
        <v>99340.547018347846</v>
      </c>
      <c r="AY96" s="75">
        <f t="shared" ca="1" si="125"/>
        <v>16.418430158344105</v>
      </c>
      <c r="AZ96" s="75">
        <f t="shared" ca="1" si="122"/>
        <v>9.6523678222987499</v>
      </c>
      <c r="BA96" s="75">
        <f t="shared" ca="1" si="80"/>
        <v>6.7660623360453549</v>
      </c>
      <c r="BB96" s="75">
        <f t="shared" ca="1" si="81"/>
        <v>99333.780956011804</v>
      </c>
      <c r="BC96" s="12"/>
      <c r="BD96" s="12"/>
    </row>
    <row r="97" spans="3:56">
      <c r="C97" s="3">
        <f t="shared" si="101"/>
        <v>8</v>
      </c>
      <c r="D97" s="3">
        <f t="shared" si="110"/>
        <v>5</v>
      </c>
      <c r="E97" s="1">
        <f t="shared" si="111"/>
        <v>2027</v>
      </c>
      <c r="F97" s="3">
        <f t="shared" si="102"/>
        <v>65</v>
      </c>
      <c r="G97" s="3">
        <f t="shared" si="112"/>
        <v>93</v>
      </c>
      <c r="H97" s="4">
        <f t="shared" si="103"/>
        <v>158785.62383236957</v>
      </c>
      <c r="L97" s="25" t="str">
        <f t="shared" ca="1" si="104"/>
        <v/>
      </c>
      <c r="M97" s="4">
        <f t="shared" si="105"/>
        <v>158785.62383236957</v>
      </c>
      <c r="N97" s="5">
        <f t="shared" si="83"/>
        <v>2.18E-2</v>
      </c>
      <c r="O97" s="6">
        <f t="shared" si="106"/>
        <v>5.0499999999999996E-2</v>
      </c>
      <c r="P97" s="4">
        <f t="shared" si="99"/>
        <v>668.22283362788858</v>
      </c>
      <c r="Q97" s="7">
        <f t="shared" si="107"/>
        <v>1147.1423660440405</v>
      </c>
      <c r="R97" s="4">
        <f t="shared" si="113"/>
        <v>478.91953241615192</v>
      </c>
      <c r="S97" s="4">
        <f t="shared" si="100"/>
        <v>158306.70429995342</v>
      </c>
      <c r="T97" s="4">
        <f t="shared" si="114"/>
        <v>0</v>
      </c>
      <c r="U97" s="4">
        <f t="shared" si="108"/>
        <v>158306.70429995342</v>
      </c>
      <c r="AE97" s="91" t="str">
        <f t="shared" ca="1" si="126"/>
        <v/>
      </c>
      <c r="AF97" s="70">
        <f t="shared" si="123"/>
        <v>44881</v>
      </c>
      <c r="AG97" s="10">
        <f t="shared" si="98"/>
        <v>44881</v>
      </c>
      <c r="AH97" s="29">
        <f ca="1">IF(AG97=TODAY()-1,Loan!F67,IF(AG97&gt;$AB$13,$AB$55,AH96-AI97*AF96+AI97*AF97))</f>
        <v>1.4323321554770452E-2</v>
      </c>
      <c r="AI97" s="87">
        <f t="shared" ca="1" si="93"/>
        <v>5.8303886925795171E-5</v>
      </c>
      <c r="AJ97" s="76" t="str">
        <f t="shared" ca="1" si="116"/>
        <v/>
      </c>
      <c r="AK97" s="76" t="str">
        <f t="shared" ca="1" si="124"/>
        <v/>
      </c>
      <c r="AL97" s="76" t="str">
        <f t="shared" ca="1" si="94"/>
        <v/>
      </c>
      <c r="AM97" s="11">
        <f t="shared" ca="1" si="117"/>
        <v>143.2332155477045</v>
      </c>
      <c r="AN97" s="11">
        <f t="shared" ca="1" si="118"/>
        <v>582.65245829479113</v>
      </c>
      <c r="AO97" s="11">
        <f t="shared" ca="1" si="86"/>
        <v>71.066370822079989</v>
      </c>
      <c r="AP97" s="12">
        <f t="shared" ca="1" si="87"/>
        <v>0.13891380661494393</v>
      </c>
      <c r="AQ97" s="11">
        <f t="shared" ca="1" si="119"/>
        <v>503.43460315547838</v>
      </c>
      <c r="AR97" s="11">
        <f t="shared" ca="1" si="88"/>
        <v>73.713877086454374</v>
      </c>
      <c r="AS97" s="12">
        <f t="shared" ca="1" si="89"/>
        <v>0.17153903131638584</v>
      </c>
      <c r="AT97" s="11">
        <f t="shared" ca="1" si="120"/>
        <v>451.97100914195005</v>
      </c>
      <c r="AU97" s="11">
        <f t="shared" ca="1" si="90"/>
        <v>76.32188542982999</v>
      </c>
      <c r="AV97" s="12">
        <f t="shared" ca="1" si="91"/>
        <v>0.20317333546695432</v>
      </c>
      <c r="AW97" s="10">
        <f t="shared" si="121"/>
        <v>44881</v>
      </c>
      <c r="AX97" s="76">
        <f t="shared" ca="1" si="79"/>
        <v>99333.780956011804</v>
      </c>
      <c r="AY97" s="75">
        <f t="shared" ca="1" si="125"/>
        <v>16.42753273927255</v>
      </c>
      <c r="AZ97" s="75">
        <f t="shared" ca="1" si="122"/>
        <v>9.6675776497302497</v>
      </c>
      <c r="BA97" s="75">
        <f t="shared" ca="1" si="80"/>
        <v>6.7599550895423004</v>
      </c>
      <c r="BB97" s="75">
        <f t="shared" ca="1" si="81"/>
        <v>99327.021000922265</v>
      </c>
      <c r="BC97" s="12"/>
      <c r="BD97" s="12"/>
    </row>
    <row r="98" spans="3:56">
      <c r="C98" s="3">
        <f t="shared" si="101"/>
        <v>8</v>
      </c>
      <c r="D98" s="3">
        <f t="shared" si="110"/>
        <v>6</v>
      </c>
      <c r="E98" s="1">
        <f t="shared" si="111"/>
        <v>2027</v>
      </c>
      <c r="F98" s="3">
        <f t="shared" si="102"/>
        <v>65</v>
      </c>
      <c r="G98" s="3">
        <f t="shared" si="112"/>
        <v>94</v>
      </c>
      <c r="H98" s="4">
        <f t="shared" si="103"/>
        <v>158306.70429995342</v>
      </c>
      <c r="L98" s="25" t="str">
        <f t="shared" ca="1" si="104"/>
        <v/>
      </c>
      <c r="M98" s="4">
        <f t="shared" si="105"/>
        <v>158306.70429995342</v>
      </c>
      <c r="N98" s="5">
        <f t="shared" si="83"/>
        <v>2.18E-2</v>
      </c>
      <c r="O98" s="6">
        <f t="shared" si="106"/>
        <v>5.0499999999999996E-2</v>
      </c>
      <c r="P98" s="4">
        <f t="shared" si="99"/>
        <v>666.20738059563723</v>
      </c>
      <c r="Q98" s="7">
        <f t="shared" si="107"/>
        <v>1147.142366044041</v>
      </c>
      <c r="R98" s="4">
        <f t="shared" si="113"/>
        <v>480.93498544840372</v>
      </c>
      <c r="S98" s="4">
        <f t="shared" si="100"/>
        <v>157825.76931450501</v>
      </c>
      <c r="T98" s="4">
        <f t="shared" si="114"/>
        <v>0</v>
      </c>
      <c r="U98" s="4">
        <f t="shared" si="108"/>
        <v>157825.76931450501</v>
      </c>
      <c r="AE98" s="91" t="str">
        <f t="shared" ca="1" si="126"/>
        <v/>
      </c>
      <c r="AF98" s="70">
        <f t="shared" si="123"/>
        <v>44882</v>
      </c>
      <c r="AG98" s="10">
        <f t="shared" si="98"/>
        <v>44882</v>
      </c>
      <c r="AH98" s="29">
        <f ca="1">IF(AG98=TODAY()-1,Loan!F68,IF(AG98&gt;$AB$13,$AB$55,AH97-AI98*AF97+AI98*AF98))</f>
        <v>1.4381625441695967E-2</v>
      </c>
      <c r="AI98" s="87">
        <f t="shared" ca="1" si="93"/>
        <v>5.8303886925794446E-5</v>
      </c>
      <c r="AJ98" s="76" t="str">
        <f t="shared" ca="1" si="116"/>
        <v/>
      </c>
      <c r="AK98" s="76" t="str">
        <f t="shared" ca="1" si="124"/>
        <v/>
      </c>
      <c r="AL98" s="76" t="str">
        <f t="shared" ca="1" si="94"/>
        <v/>
      </c>
      <c r="AM98" s="11">
        <f t="shared" ca="1" si="117"/>
        <v>143.81625441695968</v>
      </c>
      <c r="AN98" s="11">
        <f t="shared" ca="1" si="118"/>
        <v>582.95290593640902</v>
      </c>
      <c r="AO98" s="11">
        <f t="shared" ca="1" si="86"/>
        <v>71.366818463697882</v>
      </c>
      <c r="AP98" s="12">
        <f t="shared" ca="1" si="87"/>
        <v>0.1395010931908986</v>
      </c>
      <c r="AQ98" s="11">
        <f t="shared" ca="1" si="119"/>
        <v>503.74832621561251</v>
      </c>
      <c r="AR98" s="11">
        <f t="shared" ca="1" si="88"/>
        <v>74.027600146588497</v>
      </c>
      <c r="AS98" s="12">
        <f t="shared" ca="1" si="89"/>
        <v>0.17226909398523588</v>
      </c>
      <c r="AT98" s="11">
        <f t="shared" ca="1" si="120"/>
        <v>452.29766355786575</v>
      </c>
      <c r="AU98" s="11">
        <f t="shared" ca="1" si="90"/>
        <v>76.648539845745688</v>
      </c>
      <c r="AV98" s="12">
        <f t="shared" ca="1" si="91"/>
        <v>0.20404290868114883</v>
      </c>
      <c r="AW98" s="10">
        <f t="shared" si="121"/>
        <v>44882</v>
      </c>
      <c r="AX98" s="76">
        <f t="shared" ca="1" si="79"/>
        <v>99327.021000922265</v>
      </c>
      <c r="AY98" s="75">
        <f t="shared" ca="1" si="125"/>
        <v>16.436638501833063</v>
      </c>
      <c r="AZ98" s="75">
        <f t="shared" ca="1" si="122"/>
        <v>9.6827859109432488</v>
      </c>
      <c r="BA98" s="75">
        <f t="shared" ca="1" si="80"/>
        <v>6.7538525908898137</v>
      </c>
      <c r="BB98" s="75">
        <f t="shared" ca="1" si="81"/>
        <v>99320.267148331375</v>
      </c>
      <c r="BC98" s="12"/>
      <c r="BD98" s="12"/>
    </row>
    <row r="99" spans="3:56">
      <c r="C99" s="3">
        <f t="shared" si="101"/>
        <v>8</v>
      </c>
      <c r="D99" s="3">
        <f t="shared" si="110"/>
        <v>7</v>
      </c>
      <c r="E99" s="1">
        <f t="shared" si="111"/>
        <v>2027</v>
      </c>
      <c r="F99" s="3">
        <f t="shared" si="102"/>
        <v>65</v>
      </c>
      <c r="G99" s="3">
        <f t="shared" si="112"/>
        <v>95</v>
      </c>
      <c r="H99" s="4">
        <f t="shared" si="103"/>
        <v>157825.76931450501</v>
      </c>
      <c r="L99" s="25" t="str">
        <f t="shared" ca="1" si="104"/>
        <v/>
      </c>
      <c r="M99" s="4">
        <f t="shared" si="105"/>
        <v>157825.76931450501</v>
      </c>
      <c r="N99" s="5">
        <f t="shared" si="83"/>
        <v>2.18E-2</v>
      </c>
      <c r="O99" s="6">
        <f t="shared" si="106"/>
        <v>5.0499999999999996E-2</v>
      </c>
      <c r="P99" s="4">
        <f t="shared" si="99"/>
        <v>664.18344586520857</v>
      </c>
      <c r="Q99" s="7">
        <f t="shared" si="107"/>
        <v>1147.1423660440407</v>
      </c>
      <c r="R99" s="4">
        <f t="shared" si="113"/>
        <v>482.95892017883216</v>
      </c>
      <c r="S99" s="4">
        <f t="shared" si="100"/>
        <v>157342.8103943262</v>
      </c>
      <c r="T99" s="4">
        <f t="shared" si="114"/>
        <v>0</v>
      </c>
      <c r="U99" s="4">
        <f t="shared" si="108"/>
        <v>157342.8103943262</v>
      </c>
      <c r="AE99" s="91" t="str">
        <f t="shared" ca="1" si="126"/>
        <v/>
      </c>
      <c r="AF99" s="70">
        <f t="shared" si="123"/>
        <v>44883</v>
      </c>
      <c r="AG99" s="10">
        <f t="shared" si="98"/>
        <v>44883</v>
      </c>
      <c r="AH99" s="29">
        <f ca="1">IF(AG99=TODAY()-1,Loan!F69,IF(AG99&gt;$AB$13,$AB$55,AH98-AI99*AF98+AI99*AF99))</f>
        <v>1.4439929328621925E-2</v>
      </c>
      <c r="AI99" s="87">
        <f t="shared" ca="1" si="93"/>
        <v>5.8303886925795693E-5</v>
      </c>
      <c r="AJ99" s="76" t="str">
        <f t="shared" ca="1" si="116"/>
        <v/>
      </c>
      <c r="AK99" s="76" t="str">
        <f t="shared" ca="1" si="124"/>
        <v/>
      </c>
      <c r="AL99" s="76" t="str">
        <f t="shared" ca="1" si="94"/>
        <v/>
      </c>
      <c r="AM99" s="11">
        <f t="shared" ca="1" si="117"/>
        <v>144.39929328621926</v>
      </c>
      <c r="AN99" s="11">
        <f t="shared" ca="1" si="118"/>
        <v>583.25344297699962</v>
      </c>
      <c r="AO99" s="11">
        <f t="shared" ca="1" si="86"/>
        <v>71.66735550428848</v>
      </c>
      <c r="AP99" s="12">
        <f t="shared" ca="1" si="87"/>
        <v>0.14008855451549262</v>
      </c>
      <c r="AQ99" s="11">
        <f t="shared" ca="1" si="119"/>
        <v>504.0621579333</v>
      </c>
      <c r="AR99" s="11">
        <f t="shared" ca="1" si="88"/>
        <v>74.341431864275989</v>
      </c>
      <c r="AS99" s="12">
        <f t="shared" ca="1" si="89"/>
        <v>0.17299940951029408</v>
      </c>
      <c r="AT99" s="11">
        <f t="shared" ca="1" si="120"/>
        <v>452.62444399293793</v>
      </c>
      <c r="AU99" s="11">
        <f t="shared" ca="1" si="90"/>
        <v>76.975320280817868</v>
      </c>
      <c r="AV99" s="12">
        <f t="shared" ca="1" si="91"/>
        <v>0.20491281736572919</v>
      </c>
      <c r="AW99" s="10">
        <f t="shared" si="121"/>
        <v>44883</v>
      </c>
      <c r="AX99" s="76">
        <f t="shared" ca="1" si="79"/>
        <v>99320.267148331375</v>
      </c>
      <c r="AY99" s="75">
        <f t="shared" ca="1" si="125"/>
        <v>16.445747445445477</v>
      </c>
      <c r="AZ99" s="75">
        <f t="shared" ca="1" si="122"/>
        <v>9.6979926084010426</v>
      </c>
      <c r="BA99" s="75">
        <f t="shared" ca="1" si="80"/>
        <v>6.7477548370444342</v>
      </c>
      <c r="BB99" s="75">
        <f t="shared" ca="1" si="81"/>
        <v>99313.519393494324</v>
      </c>
      <c r="BC99" s="12"/>
      <c r="BD99" s="12"/>
    </row>
    <row r="100" spans="3:56">
      <c r="C100" s="3">
        <f t="shared" si="101"/>
        <v>8</v>
      </c>
      <c r="D100" s="3">
        <f t="shared" si="110"/>
        <v>8</v>
      </c>
      <c r="E100" s="1">
        <f t="shared" si="111"/>
        <v>2027</v>
      </c>
      <c r="F100" s="3">
        <f t="shared" si="102"/>
        <v>65</v>
      </c>
      <c r="G100" s="3">
        <f t="shared" si="112"/>
        <v>96</v>
      </c>
      <c r="H100" s="4">
        <f t="shared" si="103"/>
        <v>157342.8103943262</v>
      </c>
      <c r="L100" s="25" t="str">
        <f t="shared" ca="1" si="104"/>
        <v/>
      </c>
      <c r="M100" s="4">
        <f t="shared" si="105"/>
        <v>157342.8103943262</v>
      </c>
      <c r="N100" s="5">
        <f t="shared" si="83"/>
        <v>2.18E-2</v>
      </c>
      <c r="O100" s="6">
        <f t="shared" si="106"/>
        <v>5.0499999999999996E-2</v>
      </c>
      <c r="P100" s="4">
        <f t="shared" si="99"/>
        <v>662.15099374278941</v>
      </c>
      <c r="Q100" s="7">
        <f t="shared" si="107"/>
        <v>1147.142366044041</v>
      </c>
      <c r="R100" s="4">
        <f t="shared" si="113"/>
        <v>484.99137230125154</v>
      </c>
      <c r="S100" s="4">
        <f t="shared" si="100"/>
        <v>156857.81902202495</v>
      </c>
      <c r="T100" s="4">
        <f t="shared" si="114"/>
        <v>0</v>
      </c>
      <c r="U100" s="4">
        <f t="shared" si="108"/>
        <v>156857.81902202495</v>
      </c>
      <c r="AE100" s="91" t="str">
        <f t="shared" ca="1" si="126"/>
        <v/>
      </c>
      <c r="AF100" s="70">
        <f t="shared" si="123"/>
        <v>44886</v>
      </c>
      <c r="AG100" s="10">
        <f t="shared" ref="AG100" si="137">AG99+3</f>
        <v>44886</v>
      </c>
      <c r="AH100" s="29">
        <f ca="1">IF(AG100=TODAY()-1,Loan!F70,IF(AG100&gt;$AB$13,$AB$55,AH99-AI100*AF99+AI100*AF100))</f>
        <v>1.4614840989399358E-2</v>
      </c>
      <c r="AI100" s="87">
        <f t="shared" ca="1" si="93"/>
        <v>5.8303886925794961E-5</v>
      </c>
      <c r="AJ100" s="76" t="str">
        <f t="shared" ca="1" si="116"/>
        <v/>
      </c>
      <c r="AK100" s="76" t="str">
        <f t="shared" ca="1" si="124"/>
        <v/>
      </c>
      <c r="AL100" s="76" t="str">
        <f t="shared" ca="1" si="94"/>
        <v/>
      </c>
      <c r="AM100" s="11">
        <f t="shared" ca="1" si="117"/>
        <v>146.14840989399357</v>
      </c>
      <c r="AN100" s="11">
        <f t="shared" ca="1" si="118"/>
        <v>584.15559033928207</v>
      </c>
      <c r="AO100" s="11">
        <f t="shared" ca="1" si="86"/>
        <v>72.569502866570929</v>
      </c>
      <c r="AP100" s="12">
        <f t="shared" ca="1" si="87"/>
        <v>0.14185198668140464</v>
      </c>
      <c r="AQ100" s="11">
        <f t="shared" ca="1" si="119"/>
        <v>505.00430474679337</v>
      </c>
      <c r="AR100" s="11">
        <f t="shared" ca="1" si="88"/>
        <v>75.283578677769356</v>
      </c>
      <c r="AS100" s="12">
        <f t="shared" ca="1" si="89"/>
        <v>0.17519187255975385</v>
      </c>
      <c r="AT100" s="11">
        <f t="shared" ca="1" si="120"/>
        <v>453.60554094455762</v>
      </c>
      <c r="AU100" s="11">
        <f t="shared" ca="1" si="90"/>
        <v>77.956417232437559</v>
      </c>
      <c r="AV100" s="12">
        <f t="shared" ca="1" si="91"/>
        <v>0.20752455499451589</v>
      </c>
      <c r="AW100" s="10">
        <f t="shared" si="121"/>
        <v>44886</v>
      </c>
      <c r="AX100" s="76">
        <f t="shared" ca="1" si="79"/>
        <v>99313.519393494324</v>
      </c>
      <c r="AY100" s="75">
        <f t="shared" ca="1" si="125"/>
        <v>16.477562578226479</v>
      </c>
      <c r="AZ100" s="75">
        <f t="shared" ca="1" si="122"/>
        <v>9.7449257676044638</v>
      </c>
      <c r="BA100" s="75">
        <f t="shared" ca="1" si="80"/>
        <v>6.7326368106220151</v>
      </c>
      <c r="BB100" s="75">
        <f t="shared" ca="1" si="81"/>
        <v>99306.786756683709</v>
      </c>
      <c r="BC100" s="12"/>
      <c r="BD100" s="12"/>
    </row>
    <row r="101" spans="3:56">
      <c r="C101" s="3">
        <f t="shared" si="101"/>
        <v>9</v>
      </c>
      <c r="D101" s="3">
        <f t="shared" si="110"/>
        <v>9</v>
      </c>
      <c r="E101" s="1">
        <f t="shared" si="111"/>
        <v>2027</v>
      </c>
      <c r="F101" s="3">
        <f t="shared" si="102"/>
        <v>65</v>
      </c>
      <c r="G101" s="3">
        <f t="shared" si="112"/>
        <v>97</v>
      </c>
      <c r="H101" s="4">
        <f t="shared" si="103"/>
        <v>156857.81902202495</v>
      </c>
      <c r="L101" s="25" t="str">
        <f t="shared" ca="1" si="104"/>
        <v/>
      </c>
      <c r="M101" s="4">
        <f t="shared" si="105"/>
        <v>156857.81902202495</v>
      </c>
      <c r="N101" s="5">
        <f t="shared" si="83"/>
        <v>2.18E-2</v>
      </c>
      <c r="O101" s="6">
        <f t="shared" si="106"/>
        <v>5.0499999999999996E-2</v>
      </c>
      <c r="P101" s="4">
        <f t="shared" si="99"/>
        <v>660.10998838435501</v>
      </c>
      <c r="Q101" s="7">
        <f t="shared" si="107"/>
        <v>1147.1423660440407</v>
      </c>
      <c r="R101" s="4">
        <f t="shared" si="113"/>
        <v>487.03237765968572</v>
      </c>
      <c r="S101" s="4">
        <f t="shared" si="100"/>
        <v>156370.78664436526</v>
      </c>
      <c r="T101" s="4">
        <f t="shared" si="114"/>
        <v>0</v>
      </c>
      <c r="U101" s="4">
        <f t="shared" si="108"/>
        <v>156370.78664436526</v>
      </c>
      <c r="AE101" s="91" t="str">
        <f t="shared" ca="1" si="126"/>
        <v/>
      </c>
      <c r="AF101" s="70">
        <f t="shared" si="123"/>
        <v>44887</v>
      </c>
      <c r="AG101" s="10">
        <f t="shared" ref="AG101" si="138">AG100+1</f>
        <v>44887</v>
      </c>
      <c r="AH101" s="29">
        <f ca="1">IF(AG101=TODAY()-1,Loan!F71,IF(AG101&gt;$AB$13,$AB$55,AH100-AI101*AF100+AI101*AF101))</f>
        <v>1.4673144876324873E-2</v>
      </c>
      <c r="AI101" s="87">
        <f t="shared" ca="1" si="93"/>
        <v>5.8303886925794744E-5</v>
      </c>
      <c r="AJ101" s="76" t="str">
        <f t="shared" ca="1" si="116"/>
        <v/>
      </c>
      <c r="AK101" s="76" t="str">
        <f t="shared" ca="1" si="124"/>
        <v/>
      </c>
      <c r="AL101" s="76" t="str">
        <f t="shared" ca="1" si="94"/>
        <v/>
      </c>
      <c r="AM101" s="11">
        <f t="shared" ca="1" si="117"/>
        <v>146.73144876324872</v>
      </c>
      <c r="AN101" s="11">
        <f t="shared" ca="1" si="118"/>
        <v>584.45648482247714</v>
      </c>
      <c r="AO101" s="11">
        <f t="shared" ca="1" si="86"/>
        <v>72.870397349765994</v>
      </c>
      <c r="AP101" s="12">
        <f t="shared" ca="1" si="87"/>
        <v>0.1424401467009265</v>
      </c>
      <c r="AQ101" s="11">
        <f t="shared" ca="1" si="119"/>
        <v>505.31857080973583</v>
      </c>
      <c r="AR101" s="11">
        <f t="shared" ca="1" si="88"/>
        <v>75.597844740711821</v>
      </c>
      <c r="AS101" s="12">
        <f t="shared" ca="1" si="89"/>
        <v>0.17592319884651991</v>
      </c>
      <c r="AT101" s="11">
        <f t="shared" ca="1" si="120"/>
        <v>453.93282498754081</v>
      </c>
      <c r="AU101" s="11">
        <f t="shared" ca="1" si="90"/>
        <v>78.283701275420754</v>
      </c>
      <c r="AV101" s="12">
        <f t="shared" ca="1" si="91"/>
        <v>0.20839580431289312</v>
      </c>
      <c r="AW101" s="10">
        <f t="shared" si="121"/>
        <v>44887</v>
      </c>
      <c r="AX101" s="76">
        <f t="shared" ca="1" si="79"/>
        <v>99306.786756683709</v>
      </c>
      <c r="AY101" s="75">
        <f t="shared" ca="1" si="125"/>
        <v>16.48445165411238</v>
      </c>
      <c r="AZ101" s="75">
        <f t="shared" ca="1" si="122"/>
        <v>9.7601280781501778</v>
      </c>
      <c r="BA101" s="75">
        <f t="shared" ca="1" si="80"/>
        <v>6.7243235759622024</v>
      </c>
      <c r="BB101" s="75">
        <f t="shared" ca="1" si="81"/>
        <v>99300.062433107742</v>
      </c>
      <c r="BC101" s="12"/>
      <c r="BD101" s="12"/>
    </row>
    <row r="102" spans="3:56">
      <c r="C102" s="3">
        <f t="shared" si="101"/>
        <v>9</v>
      </c>
      <c r="D102" s="3">
        <f t="shared" si="110"/>
        <v>10</v>
      </c>
      <c r="E102" s="1">
        <f t="shared" si="111"/>
        <v>2027</v>
      </c>
      <c r="F102" s="3">
        <f t="shared" si="102"/>
        <v>65</v>
      </c>
      <c r="G102" s="3">
        <f t="shared" si="112"/>
        <v>98</v>
      </c>
      <c r="H102" s="4">
        <f t="shared" ref="H102:H133" si="139">IF(C102&gt;$B$6,0,S101)</f>
        <v>156370.78664436526</v>
      </c>
      <c r="L102" s="25" t="str">
        <f t="shared" ca="1" si="104"/>
        <v/>
      </c>
      <c r="M102" s="4">
        <f t="shared" si="105"/>
        <v>156370.78664436526</v>
      </c>
      <c r="N102" s="5">
        <f t="shared" si="83"/>
        <v>2.18E-2</v>
      </c>
      <c r="O102" s="6">
        <f t="shared" si="106"/>
        <v>5.0499999999999996E-2</v>
      </c>
      <c r="P102" s="4">
        <f t="shared" si="99"/>
        <v>658.06039379503716</v>
      </c>
      <c r="Q102" s="7">
        <f t="shared" si="107"/>
        <v>1147.1423660440414</v>
      </c>
      <c r="R102" s="4">
        <f t="shared" si="113"/>
        <v>489.08197224900425</v>
      </c>
      <c r="S102" s="4">
        <f t="shared" si="100"/>
        <v>155881.70467211626</v>
      </c>
      <c r="T102" s="4">
        <f t="shared" si="114"/>
        <v>0</v>
      </c>
      <c r="U102" s="4">
        <f t="shared" si="108"/>
        <v>155881.70467211626</v>
      </c>
      <c r="AE102" s="91" t="str">
        <f t="shared" ca="1" si="126"/>
        <v/>
      </c>
      <c r="AF102" s="70">
        <f t="shared" si="123"/>
        <v>44888</v>
      </c>
      <c r="AG102" s="10">
        <f t="shared" si="98"/>
        <v>44888</v>
      </c>
      <c r="AH102" s="29">
        <f ca="1">IF(AG102=TODAY()-1,Loan!F72,IF(AG102&gt;$AB$13,$AB$55,AH101-AI102*AF101+AI102*AF102))</f>
        <v>1.4731448763250832E-2</v>
      </c>
      <c r="AI102" s="87">
        <f t="shared" ca="1" si="93"/>
        <v>5.8303886925796018E-5</v>
      </c>
      <c r="AJ102" s="76" t="str">
        <f t="shared" ca="1" si="116"/>
        <v/>
      </c>
      <c r="AK102" s="76" t="str">
        <f t="shared" ca="1" si="124"/>
        <v/>
      </c>
      <c r="AL102" s="76" t="str">
        <f t="shared" ca="1" si="94"/>
        <v/>
      </c>
      <c r="AM102" s="11">
        <f t="shared" ca="1" si="117"/>
        <v>147.3144876325083</v>
      </c>
      <c r="AN102" s="11">
        <f t="shared" ca="1" si="118"/>
        <v>584.75746862793198</v>
      </c>
      <c r="AO102" s="11">
        <f t="shared" ca="1" si="86"/>
        <v>73.171381155220843</v>
      </c>
      <c r="AP102" s="12">
        <f t="shared" ca="1" si="87"/>
        <v>0.14302848131913659</v>
      </c>
      <c r="AQ102" s="11">
        <f t="shared" ca="1" si="119"/>
        <v>505.63294538759834</v>
      </c>
      <c r="AR102" s="11">
        <f t="shared" ca="1" si="88"/>
        <v>75.91221931857433</v>
      </c>
      <c r="AS102" s="12">
        <f t="shared" ca="1" si="89"/>
        <v>0.17665477765757315</v>
      </c>
      <c r="AT102" s="11">
        <f t="shared" ca="1" si="120"/>
        <v>454.26023481507582</v>
      </c>
      <c r="AU102" s="11">
        <f t="shared" ca="1" si="90"/>
        <v>78.611111102955761</v>
      </c>
      <c r="AV102" s="12">
        <f t="shared" ca="1" si="91"/>
        <v>0.20926738847712484</v>
      </c>
      <c r="AW102" s="10">
        <f t="shared" si="121"/>
        <v>44888</v>
      </c>
      <c r="AX102" s="76">
        <f t="shared" ca="1" si="79"/>
        <v>99300.062433107742</v>
      </c>
      <c r="AY102" s="75">
        <f t="shared" ca="1" si="125"/>
        <v>16.493577733254643</v>
      </c>
      <c r="AZ102" s="75">
        <f t="shared" ca="1" si="122"/>
        <v>9.7753290561721098</v>
      </c>
      <c r="BA102" s="75">
        <f t="shared" ca="1" si="80"/>
        <v>6.7182486770825331</v>
      </c>
      <c r="BB102" s="75">
        <f t="shared" ca="1" si="81"/>
        <v>99293.344184430665</v>
      </c>
      <c r="BC102" s="12"/>
      <c r="BD102" s="12"/>
    </row>
    <row r="103" spans="3:56">
      <c r="C103" s="3">
        <f t="shared" si="101"/>
        <v>9</v>
      </c>
      <c r="D103" s="3">
        <f t="shared" si="110"/>
        <v>11</v>
      </c>
      <c r="E103" s="1">
        <f t="shared" si="111"/>
        <v>2027</v>
      </c>
      <c r="F103" s="3">
        <f t="shared" si="102"/>
        <v>65</v>
      </c>
      <c r="G103" s="3">
        <f t="shared" si="112"/>
        <v>99</v>
      </c>
      <c r="H103" s="4">
        <f t="shared" si="139"/>
        <v>155881.70467211626</v>
      </c>
      <c r="L103" s="25" t="str">
        <f t="shared" ca="1" si="104"/>
        <v/>
      </c>
      <c r="M103" s="4">
        <f t="shared" si="105"/>
        <v>155881.70467211626</v>
      </c>
      <c r="N103" s="5">
        <f t="shared" si="83"/>
        <v>2.18E-2</v>
      </c>
      <c r="O103" s="6">
        <f t="shared" si="106"/>
        <v>5.0499999999999996E-2</v>
      </c>
      <c r="P103" s="4">
        <f t="shared" si="99"/>
        <v>656.00217382848916</v>
      </c>
      <c r="Q103" s="7">
        <f t="shared" si="107"/>
        <v>1147.1423660440412</v>
      </c>
      <c r="R103" s="4">
        <f t="shared" si="113"/>
        <v>491.14019221555202</v>
      </c>
      <c r="S103" s="4">
        <f t="shared" si="100"/>
        <v>155390.5644799007</v>
      </c>
      <c r="T103" s="4">
        <f t="shared" si="114"/>
        <v>0</v>
      </c>
      <c r="U103" s="4">
        <f t="shared" si="108"/>
        <v>155390.5644799007</v>
      </c>
      <c r="AE103" s="91" t="str">
        <f t="shared" ca="1" si="126"/>
        <v/>
      </c>
      <c r="AF103" s="70">
        <f t="shared" si="123"/>
        <v>44889</v>
      </c>
      <c r="AG103" s="10">
        <f t="shared" si="98"/>
        <v>44889</v>
      </c>
      <c r="AH103" s="29">
        <f ca="1">IF(AG103=TODAY()-1,Loan!F73,IF(AG103&gt;$AB$13,$AB$55,AH102-AI103*AF102+AI103*AF103))</f>
        <v>1.4789752650176347E-2</v>
      </c>
      <c r="AI103" s="87">
        <f t="shared" ca="1" si="93"/>
        <v>5.8303886925795272E-5</v>
      </c>
      <c r="AJ103" s="76" t="str">
        <f t="shared" ca="1" si="116"/>
        <v/>
      </c>
      <c r="AK103" s="76" t="str">
        <f t="shared" ca="1" si="124"/>
        <v/>
      </c>
      <c r="AL103" s="76" t="str">
        <f t="shared" ca="1" si="94"/>
        <v/>
      </c>
      <c r="AM103" s="11">
        <f t="shared" ca="1" si="117"/>
        <v>147.89752650176348</v>
      </c>
      <c r="AN103" s="11">
        <f t="shared" ca="1" si="118"/>
        <v>585.05854174025887</v>
      </c>
      <c r="AO103" s="11">
        <f t="shared" ca="1" si="86"/>
        <v>73.472454267547732</v>
      </c>
      <c r="AP103" s="12">
        <f t="shared" ca="1" si="87"/>
        <v>0.14361699050595639</v>
      </c>
      <c r="AQ103" s="11">
        <f t="shared" ca="1" si="119"/>
        <v>505.9474284517587</v>
      </c>
      <c r="AR103" s="11">
        <f t="shared" ca="1" si="88"/>
        <v>76.226702382734686</v>
      </c>
      <c r="AS103" s="12">
        <f t="shared" ca="1" si="89"/>
        <v>0.17738660892630706</v>
      </c>
      <c r="AT103" s="11">
        <f t="shared" ca="1" si="120"/>
        <v>454.58777038008907</v>
      </c>
      <c r="AU103" s="11">
        <f t="shared" ca="1" si="90"/>
        <v>78.93864666796901</v>
      </c>
      <c r="AV103" s="12">
        <f t="shared" ca="1" si="91"/>
        <v>0.21013930736189845</v>
      </c>
      <c r="AW103" s="10">
        <f t="shared" si="121"/>
        <v>44889</v>
      </c>
      <c r="AX103" s="76">
        <f t="shared" ca="1" si="79"/>
        <v>99293.344184430665</v>
      </c>
      <c r="AY103" s="75">
        <f t="shared" ca="1" si="125"/>
        <v>16.502706990627036</v>
      </c>
      <c r="AZ103" s="75">
        <f t="shared" ca="1" si="122"/>
        <v>9.7905284849492755</v>
      </c>
      <c r="BA103" s="75">
        <f t="shared" ca="1" si="80"/>
        <v>6.7121785056777608</v>
      </c>
      <c r="BB103" s="75">
        <f t="shared" ca="1" si="81"/>
        <v>99286.632005924985</v>
      </c>
      <c r="BC103" s="12"/>
      <c r="BD103" s="12"/>
    </row>
    <row r="104" spans="3:56">
      <c r="C104" s="3">
        <f t="shared" si="101"/>
        <v>9</v>
      </c>
      <c r="D104" s="3">
        <f t="shared" si="110"/>
        <v>12</v>
      </c>
      <c r="E104" s="1">
        <f t="shared" si="111"/>
        <v>2027</v>
      </c>
      <c r="F104" s="3">
        <f t="shared" si="102"/>
        <v>65</v>
      </c>
      <c r="G104" s="3">
        <f t="shared" si="112"/>
        <v>100</v>
      </c>
      <c r="H104" s="4">
        <f t="shared" si="139"/>
        <v>155390.5644799007</v>
      </c>
      <c r="L104" s="25" t="str">
        <f t="shared" ca="1" si="104"/>
        <v/>
      </c>
      <c r="M104" s="4">
        <f t="shared" si="105"/>
        <v>155390.5644799007</v>
      </c>
      <c r="N104" s="5">
        <f t="shared" si="83"/>
        <v>2.18E-2</v>
      </c>
      <c r="O104" s="6">
        <f t="shared" si="106"/>
        <v>5.0499999999999996E-2</v>
      </c>
      <c r="P104" s="4">
        <f t="shared" si="99"/>
        <v>653.93529218624872</v>
      </c>
      <c r="Q104" s="7">
        <f t="shared" si="107"/>
        <v>1147.1423660440412</v>
      </c>
      <c r="R104" s="4">
        <f t="shared" si="113"/>
        <v>493.20707385779247</v>
      </c>
      <c r="S104" s="4">
        <f t="shared" si="100"/>
        <v>154897.35740604289</v>
      </c>
      <c r="T104" s="4">
        <f t="shared" si="114"/>
        <v>0</v>
      </c>
      <c r="U104" s="4">
        <f t="shared" si="108"/>
        <v>154897.35740604289</v>
      </c>
      <c r="AE104" s="91" t="str">
        <f t="shared" ca="1" si="126"/>
        <v/>
      </c>
      <c r="AF104" s="70">
        <f t="shared" si="123"/>
        <v>44890</v>
      </c>
      <c r="AG104" s="10">
        <f t="shared" si="98"/>
        <v>44890</v>
      </c>
      <c r="AH104" s="29">
        <f ca="1">IF(AG104=TODAY()-1,Loan!F74,IF(AG104&gt;$AB$13,$AB$55,AH103-AI104*AF103+AI104*AF104))</f>
        <v>1.4848056537102305E-2</v>
      </c>
      <c r="AI104" s="87">
        <f t="shared" ca="1" si="93"/>
        <v>5.830388692579656E-5</v>
      </c>
      <c r="AJ104" s="76" t="str">
        <f t="shared" ca="1" si="116"/>
        <v/>
      </c>
      <c r="AK104" s="76" t="str">
        <f t="shared" ca="1" si="124"/>
        <v/>
      </c>
      <c r="AL104" s="76" t="str">
        <f t="shared" ca="1" si="94"/>
        <v/>
      </c>
      <c r="AM104" s="11">
        <f t="shared" ca="1" si="117"/>
        <v>148.48056537102306</v>
      </c>
      <c r="AN104" s="11">
        <f t="shared" ca="1" si="118"/>
        <v>585.35970414405597</v>
      </c>
      <c r="AO104" s="11">
        <f t="shared" ca="1" si="86"/>
        <v>73.773616671344826</v>
      </c>
      <c r="AP104" s="12">
        <f t="shared" ca="1" si="87"/>
        <v>0.14420567423127986</v>
      </c>
      <c r="AQ104" s="11">
        <f t="shared" ca="1" si="119"/>
        <v>506.2620199735648</v>
      </c>
      <c r="AR104" s="11">
        <f t="shared" ca="1" si="88"/>
        <v>76.541293904540794</v>
      </c>
      <c r="AS104" s="12">
        <f t="shared" ca="1" si="89"/>
        <v>0.1781186925860456</v>
      </c>
      <c r="AT104" s="11">
        <f t="shared" ca="1" si="120"/>
        <v>454.91543163546038</v>
      </c>
      <c r="AU104" s="11">
        <f t="shared" ca="1" si="90"/>
        <v>79.266307923340321</v>
      </c>
      <c r="AV104" s="12">
        <f t="shared" ca="1" si="91"/>
        <v>0.21101156084177722</v>
      </c>
      <c r="AW104" s="10">
        <f t="shared" si="121"/>
        <v>44890</v>
      </c>
      <c r="AX104" s="76">
        <f t="shared" ca="1" si="79"/>
        <v>99286.632005924985</v>
      </c>
      <c r="AY104" s="75">
        <f t="shared" ca="1" si="125"/>
        <v>16.511839425724759</v>
      </c>
      <c r="AZ104" s="75">
        <f t="shared" ca="1" si="122"/>
        <v>9.80572636692618</v>
      </c>
      <c r="BA104" s="75">
        <f t="shared" ca="1" si="80"/>
        <v>6.7061130587985787</v>
      </c>
      <c r="BB104" s="75">
        <f t="shared" ca="1" si="81"/>
        <v>99279.925892866187</v>
      </c>
      <c r="BC104" s="12"/>
      <c r="BD104" s="12"/>
    </row>
    <row r="105" spans="3:56">
      <c r="C105" s="3">
        <f t="shared" si="101"/>
        <v>9</v>
      </c>
      <c r="D105" s="3">
        <f t="shared" si="110"/>
        <v>1</v>
      </c>
      <c r="E105" s="1">
        <f t="shared" si="111"/>
        <v>2028</v>
      </c>
      <c r="F105" s="3">
        <f t="shared" si="102"/>
        <v>65</v>
      </c>
      <c r="G105" s="3">
        <f t="shared" si="112"/>
        <v>101</v>
      </c>
      <c r="H105" s="4">
        <f t="shared" si="139"/>
        <v>154897.35740604289</v>
      </c>
      <c r="L105" s="25" t="str">
        <f t="shared" ca="1" si="104"/>
        <v/>
      </c>
      <c r="M105" s="4">
        <f t="shared" si="105"/>
        <v>154897.35740604289</v>
      </c>
      <c r="N105" s="5">
        <f t="shared" si="83"/>
        <v>2.18E-2</v>
      </c>
      <c r="O105" s="6">
        <f t="shared" si="106"/>
        <v>5.0499999999999996E-2</v>
      </c>
      <c r="P105" s="4">
        <f t="shared" si="99"/>
        <v>651.85971241709717</v>
      </c>
      <c r="Q105" s="7">
        <f t="shared" si="107"/>
        <v>1147.1423660440414</v>
      </c>
      <c r="R105" s="4">
        <f t="shared" si="113"/>
        <v>495.28265362694424</v>
      </c>
      <c r="S105" s="4">
        <f t="shared" si="100"/>
        <v>154402.07475241594</v>
      </c>
      <c r="T105" s="4">
        <f t="shared" si="114"/>
        <v>0</v>
      </c>
      <c r="U105" s="4">
        <f t="shared" si="108"/>
        <v>154402.07475241594</v>
      </c>
      <c r="AE105" s="91" t="str">
        <f t="shared" ca="1" si="126"/>
        <v/>
      </c>
      <c r="AF105" s="70">
        <f t="shared" si="123"/>
        <v>44893</v>
      </c>
      <c r="AG105" s="10">
        <f t="shared" ref="AG105" si="140">AG104+3</f>
        <v>44893</v>
      </c>
      <c r="AH105" s="29">
        <f ca="1">IF(AG105=TODAY()-1,Loan!F75,IF(AG105&gt;$AB$13,$AB$55,AH104-AI105*AF104+AI105*AF105))</f>
        <v>1.5022968197879294E-2</v>
      </c>
      <c r="AI105" s="87">
        <f t="shared" ca="1" si="93"/>
        <v>5.8303886925795815E-5</v>
      </c>
      <c r="AJ105" s="76" t="str">
        <f t="shared" ca="1" si="116"/>
        <v/>
      </c>
      <c r="AK105" s="76" t="str">
        <f t="shared" ca="1" si="124"/>
        <v/>
      </c>
      <c r="AL105" s="76" t="str">
        <f t="shared" ca="1" si="94"/>
        <v/>
      </c>
      <c r="AM105" s="11">
        <f t="shared" ca="1" si="117"/>
        <v>150.22968197879294</v>
      </c>
      <c r="AN105" s="11">
        <f t="shared" ca="1" si="118"/>
        <v>586.26372694974452</v>
      </c>
      <c r="AO105" s="11">
        <f t="shared" ca="1" si="86"/>
        <v>74.677639477033381</v>
      </c>
      <c r="AP105" s="12">
        <f t="shared" ca="1" si="87"/>
        <v>0.14597277233622349</v>
      </c>
      <c r="AQ105" s="11">
        <f t="shared" ca="1" si="119"/>
        <v>507.20644499763279</v>
      </c>
      <c r="AR105" s="11">
        <f t="shared" ca="1" si="88"/>
        <v>77.485718928608776</v>
      </c>
      <c r="AS105" s="12">
        <f t="shared" ca="1" si="89"/>
        <v>0.18031645724288992</v>
      </c>
      <c r="AT105" s="11">
        <f t="shared" ca="1" si="120"/>
        <v>455.89916907157101</v>
      </c>
      <c r="AU105" s="11">
        <f t="shared" ca="1" si="90"/>
        <v>80.250045359450951</v>
      </c>
      <c r="AV105" s="12">
        <f t="shared" ca="1" si="91"/>
        <v>0.21363032759514924</v>
      </c>
      <c r="AW105" s="10">
        <f t="shared" si="121"/>
        <v>44893</v>
      </c>
      <c r="AX105" s="76">
        <f t="shared" ref="AX105:AX168" ca="1" si="141">BB104</f>
        <v>99279.925892866187</v>
      </c>
      <c r="AY105" s="75">
        <f t="shared" ca="1" si="125"/>
        <v>16.543716766761715</v>
      </c>
      <c r="AZ105" s="75">
        <f t="shared" ca="1" si="122"/>
        <v>9.8526399953564532</v>
      </c>
      <c r="BA105" s="75">
        <f t="shared" ref="BA105:BA168" ca="1" si="142">AY105-AZ105</f>
        <v>6.6910767714052621</v>
      </c>
      <c r="BB105" s="75">
        <f t="shared" ref="BB105:BB168" ca="1" si="143">AX105-BA105</f>
        <v>99273.234816094788</v>
      </c>
      <c r="BC105" s="12"/>
      <c r="BD105" s="12"/>
    </row>
    <row r="106" spans="3:56">
      <c r="C106" s="3">
        <f t="shared" si="101"/>
        <v>9</v>
      </c>
      <c r="D106" s="3">
        <f t="shared" si="110"/>
        <v>2</v>
      </c>
      <c r="E106" s="1">
        <f t="shared" si="111"/>
        <v>2028</v>
      </c>
      <c r="F106" s="3">
        <f t="shared" si="102"/>
        <v>66</v>
      </c>
      <c r="G106" s="3">
        <f t="shared" si="112"/>
        <v>102</v>
      </c>
      <c r="H106" s="4">
        <f t="shared" si="139"/>
        <v>154402.07475241594</v>
      </c>
      <c r="L106" s="25" t="str">
        <f t="shared" ca="1" si="104"/>
        <v/>
      </c>
      <c r="M106" s="4">
        <f t="shared" si="105"/>
        <v>154402.07475241594</v>
      </c>
      <c r="N106" s="5">
        <f t="shared" si="83"/>
        <v>2.18E-2</v>
      </c>
      <c r="O106" s="6">
        <f t="shared" si="106"/>
        <v>5.0499999999999996E-2</v>
      </c>
      <c r="P106" s="4">
        <f t="shared" si="99"/>
        <v>649.77539791641709</v>
      </c>
      <c r="Q106" s="7">
        <f t="shared" si="107"/>
        <v>1147.1423660440414</v>
      </c>
      <c r="R106" s="4">
        <f t="shared" si="113"/>
        <v>497.36696812762432</v>
      </c>
      <c r="S106" s="4">
        <f t="shared" si="100"/>
        <v>153904.7077842883</v>
      </c>
      <c r="T106" s="4">
        <f t="shared" si="114"/>
        <v>0</v>
      </c>
      <c r="U106" s="4">
        <f t="shared" si="108"/>
        <v>153904.7077842883</v>
      </c>
      <c r="AE106" s="91" t="str">
        <f t="shared" ca="1" si="126"/>
        <v/>
      </c>
      <c r="AF106" s="70">
        <f t="shared" si="123"/>
        <v>44894</v>
      </c>
      <c r="AG106" s="10">
        <f t="shared" ref="AG106" si="144">AG105+1</f>
        <v>44894</v>
      </c>
      <c r="AH106" s="29">
        <f ca="1">IF(AG106=TODAY()-1,Loan!F76,IF(AG106&gt;$AB$13,$AB$55,AH105-AI106*AF105+AI106*AF106))</f>
        <v>1.5081272084804809E-2</v>
      </c>
      <c r="AI106" s="87">
        <f t="shared" ca="1" si="93"/>
        <v>5.8303886925797678E-5</v>
      </c>
      <c r="AJ106" s="76" t="str">
        <f t="shared" ca="1" si="116"/>
        <v/>
      </c>
      <c r="AK106" s="76" t="str">
        <f t="shared" ca="1" si="124"/>
        <v/>
      </c>
      <c r="AL106" s="76" t="str">
        <f t="shared" ca="1" si="94"/>
        <v/>
      </c>
      <c r="AM106" s="11">
        <f t="shared" ca="1" si="117"/>
        <v>150.81272084804809</v>
      </c>
      <c r="AN106" s="11">
        <f t="shared" ca="1" si="118"/>
        <v>586.56524636481618</v>
      </c>
      <c r="AO106" s="11">
        <f t="shared" ca="1" si="86"/>
        <v>74.979158892105033</v>
      </c>
      <c r="AP106" s="12">
        <f t="shared" ca="1" si="87"/>
        <v>0.14656215391335198</v>
      </c>
      <c r="AQ106" s="11">
        <f t="shared" ca="1" si="119"/>
        <v>507.52147006263556</v>
      </c>
      <c r="AR106" s="11">
        <f t="shared" ca="1" si="88"/>
        <v>77.800743993611547</v>
      </c>
      <c r="AS106" s="12">
        <f t="shared" ca="1" si="89"/>
        <v>0.18104954979787216</v>
      </c>
      <c r="AT106" s="11">
        <f t="shared" ca="1" si="120"/>
        <v>456.22733261597114</v>
      </c>
      <c r="AU106" s="11">
        <f t="shared" ca="1" si="90"/>
        <v>80.578208903851078</v>
      </c>
      <c r="AV106" s="12">
        <f t="shared" ca="1" si="91"/>
        <v>0.21450391819788311</v>
      </c>
      <c r="AW106" s="10">
        <f t="shared" si="121"/>
        <v>44894</v>
      </c>
      <c r="AX106" s="76">
        <f t="shared" ca="1" si="141"/>
        <v>99273.234816094788</v>
      </c>
      <c r="AY106" s="75">
        <f t="shared" ca="1" si="125"/>
        <v>16.550633438889005</v>
      </c>
      <c r="AZ106" s="75">
        <f t="shared" ca="1" si="122"/>
        <v>9.8678335427437069</v>
      </c>
      <c r="BA106" s="75">
        <f t="shared" ca="1" si="142"/>
        <v>6.6827998961452977</v>
      </c>
      <c r="BB106" s="75">
        <f t="shared" ca="1" si="143"/>
        <v>99266.552016198635</v>
      </c>
      <c r="BC106" s="12"/>
      <c r="BD106" s="12"/>
    </row>
    <row r="107" spans="3:56">
      <c r="C107" s="3">
        <f t="shared" si="101"/>
        <v>9</v>
      </c>
      <c r="D107" s="3">
        <f t="shared" si="110"/>
        <v>3</v>
      </c>
      <c r="E107" s="1">
        <f t="shared" si="111"/>
        <v>2028</v>
      </c>
      <c r="F107" s="3">
        <f t="shared" si="102"/>
        <v>66</v>
      </c>
      <c r="G107" s="3">
        <f t="shared" si="112"/>
        <v>103</v>
      </c>
      <c r="H107" s="4">
        <f t="shared" si="139"/>
        <v>153904.7077842883</v>
      </c>
      <c r="L107" s="25" t="str">
        <f t="shared" ca="1" si="104"/>
        <v/>
      </c>
      <c r="M107" s="4">
        <f t="shared" si="105"/>
        <v>153904.7077842883</v>
      </c>
      <c r="N107" s="5">
        <f t="shared" si="83"/>
        <v>2.18E-2</v>
      </c>
      <c r="O107" s="6">
        <f t="shared" si="106"/>
        <v>5.0499999999999996E-2</v>
      </c>
      <c r="P107" s="4">
        <f t="shared" si="99"/>
        <v>647.68231192554651</v>
      </c>
      <c r="Q107" s="7">
        <f t="shared" si="107"/>
        <v>1147.142366044041</v>
      </c>
      <c r="R107" s="4">
        <f t="shared" si="113"/>
        <v>499.46005411849444</v>
      </c>
      <c r="S107" s="4">
        <f t="shared" si="100"/>
        <v>153405.24773016979</v>
      </c>
      <c r="T107" s="4">
        <f t="shared" si="114"/>
        <v>0</v>
      </c>
      <c r="U107" s="4">
        <f t="shared" si="108"/>
        <v>153405.24773016979</v>
      </c>
      <c r="AE107" s="91" t="str">
        <f t="shared" ca="1" si="126"/>
        <v/>
      </c>
      <c r="AF107" s="70">
        <f t="shared" si="123"/>
        <v>44895</v>
      </c>
      <c r="AG107" s="10">
        <f t="shared" si="98"/>
        <v>44895</v>
      </c>
      <c r="AH107" s="29">
        <f ca="1">IF(AG107=TODAY()-1,Loan!F77,IF(AG107&gt;$AB$13,$AB$55,AH106-AI107*AF106+AI107*AF107))</f>
        <v>1.5139575971730324E-2</v>
      </c>
      <c r="AI107" s="87">
        <f t="shared" ca="1" si="93"/>
        <v>5.8303886925799006E-5</v>
      </c>
      <c r="AJ107" s="76" t="str">
        <f t="shared" ca="1" si="116"/>
        <v/>
      </c>
      <c r="AK107" s="76" t="str">
        <f t="shared" ca="1" si="124"/>
        <v/>
      </c>
      <c r="AL107" s="76" t="str">
        <f t="shared" ca="1" si="94"/>
        <v/>
      </c>
      <c r="AM107" s="11">
        <f t="shared" ca="1" si="117"/>
        <v>151.39575971730324</v>
      </c>
      <c r="AN107" s="11">
        <f t="shared" ca="1" si="118"/>
        <v>586.86685499397788</v>
      </c>
      <c r="AO107" s="11">
        <f t="shared" ca="1" si="86"/>
        <v>75.280767521266739</v>
      </c>
      <c r="AP107" s="12">
        <f t="shared" ca="1" si="87"/>
        <v>0.14715170987772871</v>
      </c>
      <c r="AQ107" s="11">
        <f t="shared" ca="1" si="119"/>
        <v>507.83660344143249</v>
      </c>
      <c r="AR107" s="11">
        <f t="shared" ca="1" si="88"/>
        <v>78.115877372408477</v>
      </c>
      <c r="AS107" s="12">
        <f t="shared" ca="1" si="89"/>
        <v>0.18178289440910303</v>
      </c>
      <c r="AT107" s="11">
        <f t="shared" ca="1" si="120"/>
        <v>456.55562161427798</v>
      </c>
      <c r="AU107" s="11">
        <f t="shared" ca="1" si="90"/>
        <v>80.906497902157923</v>
      </c>
      <c r="AV107" s="12">
        <f t="shared" ca="1" si="91"/>
        <v>0.21537784276627486</v>
      </c>
      <c r="AW107" s="10">
        <f t="shared" si="121"/>
        <v>44895</v>
      </c>
      <c r="AX107" s="76">
        <f t="shared" ca="1" si="141"/>
        <v>99266.552016198635</v>
      </c>
      <c r="AY107" s="75">
        <f t="shared" ca="1" si="125"/>
        <v>16.559782988479789</v>
      </c>
      <c r="AZ107" s="75">
        <f t="shared" ca="1" si="122"/>
        <v>9.8830257765599185</v>
      </c>
      <c r="BA107" s="75">
        <f t="shared" ca="1" si="142"/>
        <v>6.6767572119198704</v>
      </c>
      <c r="BB107" s="75">
        <f t="shared" ca="1" si="143"/>
        <v>99259.875258986722</v>
      </c>
      <c r="BC107" s="12"/>
      <c r="BD107" s="12"/>
    </row>
    <row r="108" spans="3:56">
      <c r="C108" s="3">
        <f t="shared" si="101"/>
        <v>9</v>
      </c>
      <c r="D108" s="3">
        <f t="shared" si="110"/>
        <v>4</v>
      </c>
      <c r="E108" s="1">
        <f t="shared" si="111"/>
        <v>2028</v>
      </c>
      <c r="F108" s="3">
        <f t="shared" si="102"/>
        <v>66</v>
      </c>
      <c r="G108" s="3">
        <f t="shared" si="112"/>
        <v>104</v>
      </c>
      <c r="H108" s="4">
        <f t="shared" si="139"/>
        <v>153405.24773016979</v>
      </c>
      <c r="L108" s="25" t="str">
        <f t="shared" ca="1" si="104"/>
        <v/>
      </c>
      <c r="M108" s="4">
        <f t="shared" si="105"/>
        <v>153405.24773016979</v>
      </c>
      <c r="N108" s="5">
        <f t="shared" si="83"/>
        <v>2.18E-2</v>
      </c>
      <c r="O108" s="6">
        <f t="shared" si="106"/>
        <v>5.0499999999999996E-2</v>
      </c>
      <c r="P108" s="4">
        <f t="shared" si="99"/>
        <v>645.58041753113116</v>
      </c>
      <c r="Q108" s="7">
        <f t="shared" si="107"/>
        <v>1147.1423660440412</v>
      </c>
      <c r="R108" s="4">
        <f t="shared" si="113"/>
        <v>501.56194851291002</v>
      </c>
      <c r="S108" s="4">
        <f t="shared" si="100"/>
        <v>152903.68578165688</v>
      </c>
      <c r="T108" s="4">
        <f t="shared" si="114"/>
        <v>0</v>
      </c>
      <c r="U108" s="4">
        <f t="shared" si="108"/>
        <v>152903.68578165688</v>
      </c>
      <c r="AE108" s="91" t="str">
        <f t="shared" ca="1" si="126"/>
        <v/>
      </c>
      <c r="AF108" s="70">
        <f t="shared" si="123"/>
        <v>44896</v>
      </c>
      <c r="AG108" s="10">
        <f t="shared" si="98"/>
        <v>44896</v>
      </c>
      <c r="AH108" s="29">
        <f ca="1">IF(AG108=TODAY()-1,Loan!F78,IF(AG108&gt;$AB$13,$AB$55,AH107-AI108*AF107+AI108*AF108))</f>
        <v>1.5197879858656282E-2</v>
      </c>
      <c r="AI108" s="87">
        <f t="shared" ca="1" si="93"/>
        <v>5.8303886925800348E-5</v>
      </c>
      <c r="AJ108" s="76" t="str">
        <f t="shared" ca="1" si="116"/>
        <v/>
      </c>
      <c r="AK108" s="76" t="str">
        <f t="shared" ca="1" si="124"/>
        <v/>
      </c>
      <c r="AL108" s="76" t="str">
        <f t="shared" ca="1" si="94"/>
        <v/>
      </c>
      <c r="AM108" s="11">
        <f t="shared" ca="1" si="117"/>
        <v>151.97879858656282</v>
      </c>
      <c r="AN108" s="11">
        <f t="shared" ca="1" si="118"/>
        <v>587.16855282166307</v>
      </c>
      <c r="AO108" s="11">
        <f t="shared" ca="1" si="86"/>
        <v>75.582465348951928</v>
      </c>
      <c r="AP108" s="12">
        <f t="shared" ca="1" si="87"/>
        <v>0.14774144019892571</v>
      </c>
      <c r="AQ108" s="11">
        <f t="shared" ca="1" si="119"/>
        <v>508.15184510512404</v>
      </c>
      <c r="AR108" s="11">
        <f t="shared" ca="1" si="88"/>
        <v>78.431119036100029</v>
      </c>
      <c r="AS108" s="12">
        <f t="shared" ca="1" si="89"/>
        <v>0.18251649100933057</v>
      </c>
      <c r="AT108" s="11">
        <f t="shared" ca="1" si="120"/>
        <v>456.88403601902462</v>
      </c>
      <c r="AU108" s="11">
        <f t="shared" ca="1" si="90"/>
        <v>81.234912306904562</v>
      </c>
      <c r="AV108" s="12">
        <f t="shared" ca="1" si="91"/>
        <v>0.21625210117396468</v>
      </c>
      <c r="AW108" s="10">
        <f t="shared" si="121"/>
        <v>44896</v>
      </c>
      <c r="AX108" s="76">
        <f t="shared" ca="1" si="141"/>
        <v>99259.875258986722</v>
      </c>
      <c r="AY108" s="75">
        <f t="shared" ca="1" si="125"/>
        <v>16.568935712918876</v>
      </c>
      <c r="AZ108" s="75">
        <f t="shared" ca="1" si="122"/>
        <v>9.8982164779775559</v>
      </c>
      <c r="BA108" s="75">
        <f t="shared" ca="1" si="142"/>
        <v>6.6707192349413198</v>
      </c>
      <c r="BB108" s="75">
        <f t="shared" ca="1" si="143"/>
        <v>99253.20453975178</v>
      </c>
      <c r="BC108" s="12"/>
      <c r="BD108" s="12"/>
    </row>
    <row r="109" spans="3:56">
      <c r="C109" s="3">
        <f t="shared" si="101"/>
        <v>9</v>
      </c>
      <c r="D109" s="3">
        <f t="shared" si="110"/>
        <v>5</v>
      </c>
      <c r="E109" s="1">
        <f t="shared" si="111"/>
        <v>2028</v>
      </c>
      <c r="F109" s="3">
        <f t="shared" si="102"/>
        <v>66</v>
      </c>
      <c r="G109" s="3">
        <f t="shared" si="112"/>
        <v>105</v>
      </c>
      <c r="H109" s="4">
        <f t="shared" si="139"/>
        <v>152903.68578165688</v>
      </c>
      <c r="L109" s="25" t="str">
        <f t="shared" ca="1" si="104"/>
        <v/>
      </c>
      <c r="M109" s="4">
        <f t="shared" si="105"/>
        <v>152903.68578165688</v>
      </c>
      <c r="N109" s="5">
        <f t="shared" ref="N109:N172" si="145">N108</f>
        <v>2.18E-2</v>
      </c>
      <c r="O109" s="6">
        <f t="shared" si="106"/>
        <v>5.0499999999999996E-2</v>
      </c>
      <c r="P109" s="4">
        <f t="shared" si="99"/>
        <v>643.46967766447267</v>
      </c>
      <c r="Q109" s="7">
        <f t="shared" si="107"/>
        <v>1147.142366044041</v>
      </c>
      <c r="R109" s="4">
        <f t="shared" si="113"/>
        <v>503.67268837956829</v>
      </c>
      <c r="S109" s="4">
        <f t="shared" si="100"/>
        <v>152400.01309327732</v>
      </c>
      <c r="T109" s="4">
        <f t="shared" si="114"/>
        <v>0</v>
      </c>
      <c r="U109" s="4">
        <f t="shared" si="108"/>
        <v>152400.01309327732</v>
      </c>
      <c r="AE109" s="91" t="str">
        <f t="shared" ca="1" si="126"/>
        <v/>
      </c>
      <c r="AF109" s="70">
        <f t="shared" si="123"/>
        <v>44897</v>
      </c>
      <c r="AG109" s="10">
        <f t="shared" si="98"/>
        <v>44897</v>
      </c>
      <c r="AH109" s="29">
        <f ca="1">IF(AG109=TODAY()-1,Loan!F79,IF(AG109&gt;$AB$13,$AB$55,AH108-AI109*AF108+AI109*AF109))</f>
        <v>1.5256183745581797E-2</v>
      </c>
      <c r="AI109" s="87">
        <f t="shared" ca="1" si="93"/>
        <v>5.8303886925799596E-5</v>
      </c>
      <c r="AJ109" s="76" t="str">
        <f t="shared" ca="1" si="116"/>
        <v/>
      </c>
      <c r="AK109" s="76" t="str">
        <f t="shared" ca="1" si="124"/>
        <v/>
      </c>
      <c r="AL109" s="76" t="str">
        <f t="shared" ca="1" si="94"/>
        <v/>
      </c>
      <c r="AM109" s="11">
        <f t="shared" ca="1" si="117"/>
        <v>152.56183745581797</v>
      </c>
      <c r="AN109" s="11">
        <f t="shared" ca="1" si="118"/>
        <v>587.47033983232063</v>
      </c>
      <c r="AO109" s="11">
        <f t="shared" ca="1" si="86"/>
        <v>75.884252359609491</v>
      </c>
      <c r="AP109" s="12">
        <f t="shared" ca="1" si="87"/>
        <v>0.14833134484654509</v>
      </c>
      <c r="AQ109" s="11">
        <f t="shared" ca="1" si="119"/>
        <v>508.46719502480119</v>
      </c>
      <c r="AR109" s="11">
        <f t="shared" ca="1" si="88"/>
        <v>78.746468955777175</v>
      </c>
      <c r="AS109" s="12">
        <f t="shared" ca="1" si="89"/>
        <v>0.18325033953128084</v>
      </c>
      <c r="AT109" s="11">
        <f t="shared" ca="1" si="120"/>
        <v>457.21257578271047</v>
      </c>
      <c r="AU109" s="11">
        <f t="shared" ca="1" si="90"/>
        <v>81.563452070590415</v>
      </c>
      <c r="AV109" s="12">
        <f t="shared" ca="1" si="91"/>
        <v>0.21712669329450329</v>
      </c>
      <c r="AW109" s="10">
        <f t="shared" si="121"/>
        <v>44897</v>
      </c>
      <c r="AX109" s="76">
        <f t="shared" ca="1" si="141"/>
        <v>99253.20453975178</v>
      </c>
      <c r="AY109" s="75">
        <f t="shared" ca="1" si="125"/>
        <v>16.578091611628004</v>
      </c>
      <c r="AZ109" s="75">
        <f t="shared" ca="1" si="122"/>
        <v>9.9134056494219305</v>
      </c>
      <c r="BA109" s="75">
        <f t="shared" ca="1" si="142"/>
        <v>6.6646859622060735</v>
      </c>
      <c r="BB109" s="75">
        <f t="shared" ca="1" si="143"/>
        <v>99246.539853789567</v>
      </c>
      <c r="BC109" s="12"/>
      <c r="BD109" s="12"/>
    </row>
    <row r="110" spans="3:56">
      <c r="C110" s="3">
        <f t="shared" si="101"/>
        <v>9</v>
      </c>
      <c r="D110" s="3">
        <f t="shared" si="110"/>
        <v>6</v>
      </c>
      <c r="E110" s="1">
        <f t="shared" si="111"/>
        <v>2028</v>
      </c>
      <c r="F110" s="3">
        <f t="shared" si="102"/>
        <v>66</v>
      </c>
      <c r="G110" s="3">
        <f t="shared" si="112"/>
        <v>106</v>
      </c>
      <c r="H110" s="4">
        <f t="shared" si="139"/>
        <v>152400.01309327732</v>
      </c>
      <c r="L110" s="25" t="str">
        <f t="shared" ca="1" si="104"/>
        <v/>
      </c>
      <c r="M110" s="4">
        <f t="shared" si="105"/>
        <v>152400.01309327732</v>
      </c>
      <c r="N110" s="5">
        <f t="shared" si="145"/>
        <v>2.18E-2</v>
      </c>
      <c r="O110" s="6">
        <f t="shared" si="106"/>
        <v>5.0499999999999996E-2</v>
      </c>
      <c r="P110" s="4">
        <f t="shared" si="99"/>
        <v>641.35005510087535</v>
      </c>
      <c r="Q110" s="7">
        <f t="shared" si="107"/>
        <v>1147.1423660440412</v>
      </c>
      <c r="R110" s="4">
        <f t="shared" si="113"/>
        <v>505.79231094316583</v>
      </c>
      <c r="S110" s="4">
        <f t="shared" si="100"/>
        <v>151894.22078233416</v>
      </c>
      <c r="T110" s="4">
        <f t="shared" si="114"/>
        <v>0</v>
      </c>
      <c r="U110" s="4">
        <f t="shared" si="108"/>
        <v>151894.22078233416</v>
      </c>
      <c r="AE110" s="91" t="str">
        <f t="shared" ca="1" si="126"/>
        <v/>
      </c>
      <c r="AF110" s="70">
        <f t="shared" si="123"/>
        <v>44900</v>
      </c>
      <c r="AG110" s="10">
        <f t="shared" ref="AG110" si="146">AG109+3</f>
        <v>44900</v>
      </c>
      <c r="AH110" s="29">
        <f ca="1">IF(AG110=TODAY()-1,Loan!F80,IF(AG110&gt;$AB$13,$AB$55,AH109-AI110*AF109+AI110*AF110))</f>
        <v>1.543109540635923E-2</v>
      </c>
      <c r="AI110" s="87">
        <f t="shared" ca="1" si="93"/>
        <v>5.8303886925800951E-5</v>
      </c>
      <c r="AJ110" s="76" t="str">
        <f t="shared" ca="1" si="116"/>
        <v/>
      </c>
      <c r="AK110" s="76" t="str">
        <f t="shared" ca="1" si="124"/>
        <v/>
      </c>
      <c r="AL110" s="76" t="str">
        <f t="shared" ca="1" si="94"/>
        <v/>
      </c>
      <c r="AM110" s="11">
        <f t="shared" ca="1" si="117"/>
        <v>154.31095406359231</v>
      </c>
      <c r="AN110" s="11">
        <f t="shared" ca="1" si="118"/>
        <v>588.37623580624722</v>
      </c>
      <c r="AO110" s="11">
        <f t="shared" ca="1" si="86"/>
        <v>76.790148333536081</v>
      </c>
      <c r="AP110" s="12">
        <f t="shared" ca="1" si="87"/>
        <v>0.15010210444323741</v>
      </c>
      <c r="AQ110" s="11">
        <f t="shared" ca="1" si="119"/>
        <v>509.41389403008782</v>
      </c>
      <c r="AR110" s="11">
        <f t="shared" ca="1" si="88"/>
        <v>79.693167961063807</v>
      </c>
      <c r="AS110" s="12">
        <f t="shared" ca="1" si="89"/>
        <v>0.18545339595340596</v>
      </c>
      <c r="AT110" s="11">
        <f t="shared" ca="1" si="120"/>
        <v>458.19894675159111</v>
      </c>
      <c r="AU110" s="11">
        <f t="shared" ca="1" si="90"/>
        <v>82.54982303947105</v>
      </c>
      <c r="AV110" s="12">
        <f t="shared" ca="1" si="91"/>
        <v>0.21975247066657178</v>
      </c>
      <c r="AW110" s="10">
        <f t="shared" si="121"/>
        <v>44900</v>
      </c>
      <c r="AX110" s="76">
        <f t="shared" ca="1" si="141"/>
        <v>99246.539853789567</v>
      </c>
      <c r="AY110" s="75">
        <f t="shared" ca="1" si="125"/>
        <v>16.610031026897015</v>
      </c>
      <c r="AZ110" s="75">
        <f t="shared" ca="1" si="122"/>
        <v>9.9602999181786291</v>
      </c>
      <c r="BA110" s="75">
        <f t="shared" ca="1" si="142"/>
        <v>6.6497311087183864</v>
      </c>
      <c r="BB110" s="75">
        <f t="shared" ca="1" si="143"/>
        <v>99239.890122680852</v>
      </c>
      <c r="BC110" s="12"/>
      <c r="BD110" s="12"/>
    </row>
    <row r="111" spans="3:56">
      <c r="C111" s="3">
        <f t="shared" si="101"/>
        <v>9</v>
      </c>
      <c r="D111" s="3">
        <f t="shared" si="110"/>
        <v>7</v>
      </c>
      <c r="E111" s="1">
        <f t="shared" si="111"/>
        <v>2028</v>
      </c>
      <c r="F111" s="3">
        <f t="shared" si="102"/>
        <v>66</v>
      </c>
      <c r="G111" s="3">
        <f t="shared" si="112"/>
        <v>107</v>
      </c>
      <c r="H111" s="4">
        <f t="shared" si="139"/>
        <v>151894.22078233416</v>
      </c>
      <c r="L111" s="25" t="str">
        <f t="shared" ca="1" si="104"/>
        <v/>
      </c>
      <c r="M111" s="4">
        <f t="shared" si="105"/>
        <v>151894.22078233416</v>
      </c>
      <c r="N111" s="5">
        <f t="shared" si="145"/>
        <v>2.18E-2</v>
      </c>
      <c r="O111" s="6">
        <f t="shared" si="106"/>
        <v>5.0499999999999996E-2</v>
      </c>
      <c r="P111" s="4">
        <f t="shared" si="99"/>
        <v>639.22151245898954</v>
      </c>
      <c r="Q111" s="7">
        <f t="shared" si="107"/>
        <v>1147.1423660440412</v>
      </c>
      <c r="R111" s="4">
        <f t="shared" si="113"/>
        <v>507.92085358505165</v>
      </c>
      <c r="S111" s="4">
        <f t="shared" si="100"/>
        <v>151386.2999287491</v>
      </c>
      <c r="T111" s="4">
        <f t="shared" si="114"/>
        <v>0</v>
      </c>
      <c r="U111" s="4">
        <f t="shared" si="108"/>
        <v>151386.2999287491</v>
      </c>
      <c r="AE111" s="91" t="str">
        <f t="shared" ca="1" si="126"/>
        <v/>
      </c>
      <c r="AF111" s="70">
        <f t="shared" si="123"/>
        <v>44901</v>
      </c>
      <c r="AG111" s="10">
        <f t="shared" ref="AG111" si="147">AG110+1</f>
        <v>44901</v>
      </c>
      <c r="AH111" s="29">
        <f ca="1">IF(AG111=TODAY()-1,Loan!F81,IF(AG111&gt;$AB$13,$AB$55,AH110-AI111*AF110+AI111*AF111))</f>
        <v>1.5489399293284745E-2</v>
      </c>
      <c r="AI111" s="87">
        <f t="shared" ca="1" si="93"/>
        <v>5.8303886925800809E-5</v>
      </c>
      <c r="AJ111" s="76" t="str">
        <f t="shared" ca="1" si="116"/>
        <v/>
      </c>
      <c r="AK111" s="76" t="str">
        <f t="shared" ca="1" si="124"/>
        <v/>
      </c>
      <c r="AL111" s="76" t="str">
        <f t="shared" ca="1" si="94"/>
        <v/>
      </c>
      <c r="AM111" s="11">
        <f t="shared" ca="1" si="117"/>
        <v>154.89399293284745</v>
      </c>
      <c r="AN111" s="11">
        <f t="shared" ca="1" si="118"/>
        <v>588.67837939278763</v>
      </c>
      <c r="AO111" s="11">
        <f t="shared" ca="1" si="86"/>
        <v>77.092291920076491</v>
      </c>
      <c r="AP111" s="12">
        <f t="shared" ca="1" si="87"/>
        <v>0.15069270609159935</v>
      </c>
      <c r="AQ111" s="11">
        <f t="shared" ca="1" si="119"/>
        <v>509.72967668385036</v>
      </c>
      <c r="AR111" s="11">
        <f t="shared" ca="1" si="88"/>
        <v>80.008950614826347</v>
      </c>
      <c r="AS111" s="12">
        <f t="shared" ca="1" si="89"/>
        <v>0.18618825148772294</v>
      </c>
      <c r="AT111" s="11">
        <f t="shared" ca="1" si="120"/>
        <v>458.52798747493893</v>
      </c>
      <c r="AU111" s="11">
        <f t="shared" ca="1" si="90"/>
        <v>82.878863762818867</v>
      </c>
      <c r="AV111" s="12">
        <f t="shared" ca="1" si="91"/>
        <v>0.22062839637111295</v>
      </c>
      <c r="AW111" s="10">
        <f t="shared" si="121"/>
        <v>44901</v>
      </c>
      <c r="AX111" s="76">
        <f t="shared" ca="1" si="141"/>
        <v>99239.890122680852</v>
      </c>
      <c r="AY111" s="75">
        <f t="shared" ca="1" si="125"/>
        <v>16.616975292252445</v>
      </c>
      <c r="AZ111" s="75">
        <f t="shared" ca="1" si="122"/>
        <v>9.9754848069390221</v>
      </c>
      <c r="BA111" s="75">
        <f t="shared" ca="1" si="142"/>
        <v>6.6414904853134225</v>
      </c>
      <c r="BB111" s="75">
        <f t="shared" ca="1" si="143"/>
        <v>99233.248632195537</v>
      </c>
      <c r="BC111" s="12"/>
      <c r="BD111" s="12"/>
    </row>
    <row r="112" spans="3:56">
      <c r="C112" s="3">
        <f t="shared" si="101"/>
        <v>9</v>
      </c>
      <c r="D112" s="3">
        <f t="shared" si="110"/>
        <v>8</v>
      </c>
      <c r="E112" s="1">
        <f t="shared" si="111"/>
        <v>2028</v>
      </c>
      <c r="F112" s="3">
        <f t="shared" si="102"/>
        <v>66</v>
      </c>
      <c r="G112" s="3">
        <f t="shared" si="112"/>
        <v>108</v>
      </c>
      <c r="H112" s="4">
        <f t="shared" si="139"/>
        <v>151386.2999287491</v>
      </c>
      <c r="L112" s="25" t="str">
        <f t="shared" ca="1" si="104"/>
        <v/>
      </c>
      <c r="M112" s="4">
        <f t="shared" si="105"/>
        <v>151386.2999287491</v>
      </c>
      <c r="N112" s="5">
        <f t="shared" si="145"/>
        <v>2.18E-2</v>
      </c>
      <c r="O112" s="6">
        <f t="shared" si="106"/>
        <v>5.0499999999999996E-2</v>
      </c>
      <c r="P112" s="4">
        <f t="shared" si="99"/>
        <v>637.08401220015242</v>
      </c>
      <c r="Q112" s="7">
        <f t="shared" si="107"/>
        <v>1147.1423660440414</v>
      </c>
      <c r="R112" s="4">
        <f t="shared" si="113"/>
        <v>510.05835384388899</v>
      </c>
      <c r="S112" s="4">
        <f t="shared" si="100"/>
        <v>150876.2415749052</v>
      </c>
      <c r="T112" s="4">
        <f t="shared" si="114"/>
        <v>0</v>
      </c>
      <c r="U112" s="4">
        <f t="shared" si="108"/>
        <v>150876.2415749052</v>
      </c>
      <c r="AE112" s="91" t="str">
        <f t="shared" ca="1" si="126"/>
        <v/>
      </c>
      <c r="AF112" s="70">
        <f t="shared" si="123"/>
        <v>44902</v>
      </c>
      <c r="AG112" s="10">
        <f t="shared" si="98"/>
        <v>44902</v>
      </c>
      <c r="AH112" s="29">
        <f ca="1">IF(AG112=TODAY()-1,Loan!F82,IF(AG112&gt;$AB$13,$AB$55,AH111-AI112*AF111+AI112*AF112))</f>
        <v>1.5547703180210704E-2</v>
      </c>
      <c r="AI112" s="87">
        <f t="shared" ca="1" si="93"/>
        <v>5.8303886925802191E-5</v>
      </c>
      <c r="AJ112" s="76" t="str">
        <f t="shared" ca="1" si="116"/>
        <v/>
      </c>
      <c r="AK112" s="76" t="str">
        <f t="shared" ca="1" si="124"/>
        <v/>
      </c>
      <c r="AL112" s="76" t="str">
        <f t="shared" ca="1" si="94"/>
        <v/>
      </c>
      <c r="AM112" s="11">
        <f t="shared" ca="1" si="117"/>
        <v>155.47703180210704</v>
      </c>
      <c r="AN112" s="11">
        <f t="shared" ca="1" si="118"/>
        <v>588.98061208419631</v>
      </c>
      <c r="AO112" s="11">
        <f t="shared" ca="1" si="86"/>
        <v>77.394524611485167</v>
      </c>
      <c r="AP112" s="12">
        <f t="shared" ca="1" si="87"/>
        <v>0.15128348191371316</v>
      </c>
      <c r="AQ112" s="11">
        <f t="shared" ca="1" si="119"/>
        <v>510.04556744849361</v>
      </c>
      <c r="AR112" s="11">
        <f t="shared" ca="1" si="88"/>
        <v>80.324841379469603</v>
      </c>
      <c r="AS112" s="12">
        <f t="shared" ca="1" si="89"/>
        <v>0.18692335860609013</v>
      </c>
      <c r="AT112" s="11">
        <f t="shared" ca="1" si="120"/>
        <v>458.85715331891578</v>
      </c>
      <c r="AU112" s="11">
        <f t="shared" ca="1" si="90"/>
        <v>83.208029606795719</v>
      </c>
      <c r="AV112" s="12">
        <f t="shared" ca="1" si="91"/>
        <v>0.22150465515410722</v>
      </c>
      <c r="AW112" s="10">
        <f t="shared" si="121"/>
        <v>44902</v>
      </c>
      <c r="AX112" s="76">
        <f t="shared" ca="1" si="141"/>
        <v>99233.248632195537</v>
      </c>
      <c r="AY112" s="75">
        <f t="shared" ca="1" si="125"/>
        <v>16.626148284169421</v>
      </c>
      <c r="AZ112" s="75">
        <f t="shared" ca="1" si="122"/>
        <v>9.9906684009423881</v>
      </c>
      <c r="BA112" s="75">
        <f t="shared" ca="1" si="142"/>
        <v>6.635479883227033</v>
      </c>
      <c r="BB112" s="75">
        <f t="shared" ca="1" si="143"/>
        <v>99226.613152312304</v>
      </c>
      <c r="BC112" s="12"/>
      <c r="BD112" s="12"/>
    </row>
    <row r="113" spans="3:56">
      <c r="C113" s="3">
        <f t="shared" si="101"/>
        <v>10</v>
      </c>
      <c r="D113" s="3">
        <f t="shared" si="110"/>
        <v>9</v>
      </c>
      <c r="E113" s="1">
        <f t="shared" si="111"/>
        <v>2028</v>
      </c>
      <c r="F113" s="3">
        <f t="shared" si="102"/>
        <v>66</v>
      </c>
      <c r="G113" s="3">
        <f t="shared" si="112"/>
        <v>109</v>
      </c>
      <c r="H113" s="4">
        <f t="shared" si="139"/>
        <v>150876.2415749052</v>
      </c>
      <c r="L113" s="25" t="str">
        <f t="shared" ca="1" si="104"/>
        <v/>
      </c>
      <c r="M113" s="4">
        <f t="shared" si="105"/>
        <v>150876.2415749052</v>
      </c>
      <c r="N113" s="5">
        <f t="shared" si="145"/>
        <v>2.18E-2</v>
      </c>
      <c r="O113" s="6">
        <f t="shared" si="106"/>
        <v>5.0499999999999996E-2</v>
      </c>
      <c r="P113" s="4">
        <f t="shared" si="99"/>
        <v>634.93751662772604</v>
      </c>
      <c r="Q113" s="7">
        <f t="shared" si="107"/>
        <v>1147.1423660440412</v>
      </c>
      <c r="R113" s="4">
        <f t="shared" si="113"/>
        <v>512.20484941631514</v>
      </c>
      <c r="S113" s="4">
        <f t="shared" si="100"/>
        <v>150364.0367254889</v>
      </c>
      <c r="T113" s="4">
        <f t="shared" si="114"/>
        <v>0</v>
      </c>
      <c r="U113" s="4">
        <f t="shared" si="108"/>
        <v>150364.0367254889</v>
      </c>
      <c r="AE113" s="91" t="str">
        <f t="shared" ca="1" si="126"/>
        <v/>
      </c>
      <c r="AF113" s="70">
        <f t="shared" si="123"/>
        <v>44903</v>
      </c>
      <c r="AG113" s="10">
        <f t="shared" si="98"/>
        <v>44903</v>
      </c>
      <c r="AH113" s="29">
        <f ca="1">IF(AG113=TODAY()-1,Loan!F83,IF(AG113&gt;$AB$13,$AB$55,AH112-AI113*AF112+AI113*AF113))</f>
        <v>1.5606007067136662E-2</v>
      </c>
      <c r="AI113" s="87">
        <f t="shared" ca="1" si="93"/>
        <v>5.8303886925801432E-5</v>
      </c>
      <c r="AJ113" s="76" t="str">
        <f t="shared" ca="1" si="116"/>
        <v/>
      </c>
      <c r="AK113" s="76" t="str">
        <f t="shared" ca="1" si="124"/>
        <v/>
      </c>
      <c r="AL113" s="76" t="str">
        <f t="shared" ca="1" si="94"/>
        <v/>
      </c>
      <c r="AM113" s="11">
        <f t="shared" ca="1" si="117"/>
        <v>156.06007067136662</v>
      </c>
      <c r="AN113" s="11">
        <f t="shared" ca="1" si="118"/>
        <v>589.28293386483404</v>
      </c>
      <c r="AO113" s="11">
        <f t="shared" ca="1" si="86"/>
        <v>77.696846392122893</v>
      </c>
      <c r="AP113" s="12">
        <f t="shared" ca="1" si="87"/>
        <v>0.15187443187900879</v>
      </c>
      <c r="AQ113" s="11">
        <f t="shared" ca="1" si="119"/>
        <v>510.3615662949224</v>
      </c>
      <c r="AR113" s="11">
        <f t="shared" ca="1" si="88"/>
        <v>80.640840225898387</v>
      </c>
      <c r="AS113" s="12">
        <f t="shared" ca="1" si="89"/>
        <v>0.18765871724080033</v>
      </c>
      <c r="AT113" s="11">
        <f t="shared" ca="1" si="120"/>
        <v>459.18644423572721</v>
      </c>
      <c r="AU113" s="11">
        <f t="shared" ca="1" si="90"/>
        <v>83.53732052360715</v>
      </c>
      <c r="AV113" s="12">
        <f t="shared" ca="1" si="91"/>
        <v>0.22238124688832298</v>
      </c>
      <c r="AW113" s="10">
        <f t="shared" si="121"/>
        <v>44903</v>
      </c>
      <c r="AX113" s="76">
        <f t="shared" ca="1" si="141"/>
        <v>99226.613152312304</v>
      </c>
      <c r="AY113" s="75">
        <f t="shared" ca="1" si="125"/>
        <v>16.635324447485836</v>
      </c>
      <c r="AZ113" s="75">
        <f t="shared" ca="1" si="122"/>
        <v>10.00585047926587</v>
      </c>
      <c r="BA113" s="75">
        <f t="shared" ca="1" si="142"/>
        <v>6.6294739682199655</v>
      </c>
      <c r="BB113" s="75">
        <f t="shared" ca="1" si="143"/>
        <v>99219.983678344084</v>
      </c>
      <c r="BC113" s="12"/>
      <c r="BD113" s="12"/>
    </row>
    <row r="114" spans="3:56">
      <c r="C114" s="3">
        <f t="shared" si="101"/>
        <v>10</v>
      </c>
      <c r="D114" s="3">
        <f t="shared" si="110"/>
        <v>10</v>
      </c>
      <c r="E114" s="1">
        <f t="shared" si="111"/>
        <v>2028</v>
      </c>
      <c r="F114" s="3">
        <f t="shared" si="102"/>
        <v>66</v>
      </c>
      <c r="G114" s="3">
        <f t="shared" si="112"/>
        <v>110</v>
      </c>
      <c r="H114" s="4">
        <f t="shared" si="139"/>
        <v>150364.0367254889</v>
      </c>
      <c r="L114" s="25" t="str">
        <f t="shared" ca="1" si="104"/>
        <v/>
      </c>
      <c r="M114" s="4">
        <f t="shared" si="105"/>
        <v>150364.0367254889</v>
      </c>
      <c r="N114" s="5">
        <f t="shared" si="145"/>
        <v>2.18E-2</v>
      </c>
      <c r="O114" s="6">
        <f t="shared" si="106"/>
        <v>5.0499999999999996E-2</v>
      </c>
      <c r="P114" s="4">
        <f t="shared" si="99"/>
        <v>632.78198788643238</v>
      </c>
      <c r="Q114" s="7">
        <f t="shared" si="107"/>
        <v>1147.1423660440416</v>
      </c>
      <c r="R114" s="4">
        <f t="shared" si="113"/>
        <v>514.36037815760926</v>
      </c>
      <c r="S114" s="4">
        <f t="shared" si="100"/>
        <v>149849.67634733129</v>
      </c>
      <c r="T114" s="4">
        <f t="shared" si="114"/>
        <v>0</v>
      </c>
      <c r="U114" s="4">
        <f t="shared" si="108"/>
        <v>149849.67634733129</v>
      </c>
      <c r="AE114" s="91" t="str">
        <f t="shared" ca="1" si="126"/>
        <v/>
      </c>
      <c r="AF114" s="70">
        <f t="shared" si="123"/>
        <v>44904</v>
      </c>
      <c r="AG114" s="10">
        <f t="shared" si="98"/>
        <v>44904</v>
      </c>
      <c r="AH114" s="29">
        <f ca="1">IF(AG114=TODAY()-1,Loan!F84,IF(AG114&gt;$AB$13,$AB$55,AH113-AI114*AF113+AI114*AF114))</f>
        <v>1.5664310954062177E-2</v>
      </c>
      <c r="AI114" s="87">
        <f t="shared" ca="1" si="93"/>
        <v>5.830388692580066E-5</v>
      </c>
      <c r="AJ114" s="76" t="str">
        <f t="shared" ca="1" si="116"/>
        <v/>
      </c>
      <c r="AK114" s="76" t="str">
        <f t="shared" ca="1" si="124"/>
        <v/>
      </c>
      <c r="AL114" s="76" t="str">
        <f t="shared" ca="1" si="94"/>
        <v/>
      </c>
      <c r="AM114" s="11">
        <f t="shared" ca="1" si="117"/>
        <v>156.64310954062177</v>
      </c>
      <c r="AN114" s="11">
        <f t="shared" ca="1" si="118"/>
        <v>589.58534471889595</v>
      </c>
      <c r="AO114" s="11">
        <f t="shared" ca="1" si="86"/>
        <v>77.999257246184811</v>
      </c>
      <c r="AP114" s="12">
        <f t="shared" ca="1" si="87"/>
        <v>0.15246555595659239</v>
      </c>
      <c r="AQ114" s="11">
        <f t="shared" ca="1" si="119"/>
        <v>510.67767319389299</v>
      </c>
      <c r="AR114" s="11">
        <f t="shared" ca="1" si="88"/>
        <v>80.956947124868975</v>
      </c>
      <c r="AS114" s="12">
        <f t="shared" ca="1" si="89"/>
        <v>0.18839432732380063</v>
      </c>
      <c r="AT114" s="11">
        <f t="shared" ca="1" si="120"/>
        <v>459.51586017743512</v>
      </c>
      <c r="AU114" s="11">
        <f t="shared" ca="1" si="90"/>
        <v>83.866736465315057</v>
      </c>
      <c r="AV114" s="12">
        <f t="shared" ca="1" si="91"/>
        <v>0.22325817144614613</v>
      </c>
      <c r="AW114" s="10">
        <f t="shared" si="121"/>
        <v>44904</v>
      </c>
      <c r="AX114" s="76">
        <f t="shared" ca="1" si="141"/>
        <v>99219.983678344084</v>
      </c>
      <c r="AY114" s="75">
        <f t="shared" ca="1" si="125"/>
        <v>16.644503781593766</v>
      </c>
      <c r="AZ114" s="75">
        <f t="shared" ca="1" si="122"/>
        <v>10.021031044316304</v>
      </c>
      <c r="BA114" s="75">
        <f t="shared" ca="1" si="142"/>
        <v>6.6234727372774618</v>
      </c>
      <c r="BB114" s="75">
        <f t="shared" ca="1" si="143"/>
        <v>99213.360205606805</v>
      </c>
      <c r="BC114" s="12"/>
      <c r="BD114" s="12"/>
    </row>
    <row r="115" spans="3:56">
      <c r="C115" s="3">
        <f t="shared" si="101"/>
        <v>10</v>
      </c>
      <c r="D115" s="3">
        <f t="shared" si="110"/>
        <v>11</v>
      </c>
      <c r="E115" s="1">
        <f t="shared" si="111"/>
        <v>2028</v>
      </c>
      <c r="F115" s="3">
        <f t="shared" si="102"/>
        <v>66</v>
      </c>
      <c r="G115" s="3">
        <f t="shared" si="112"/>
        <v>111</v>
      </c>
      <c r="H115" s="4">
        <f t="shared" si="139"/>
        <v>149849.67634733129</v>
      </c>
      <c r="L115" s="25" t="str">
        <f t="shared" ca="1" si="104"/>
        <v/>
      </c>
      <c r="M115" s="4">
        <f t="shared" si="105"/>
        <v>149849.67634733129</v>
      </c>
      <c r="N115" s="5">
        <f t="shared" si="145"/>
        <v>2.18E-2</v>
      </c>
      <c r="O115" s="6">
        <f t="shared" si="106"/>
        <v>5.0499999999999996E-2</v>
      </c>
      <c r="P115" s="4">
        <f t="shared" si="99"/>
        <v>630.61738796168572</v>
      </c>
      <c r="Q115" s="7">
        <f t="shared" si="107"/>
        <v>1147.1423660440412</v>
      </c>
      <c r="R115" s="4">
        <f t="shared" si="113"/>
        <v>516.52497808235546</v>
      </c>
      <c r="S115" s="4">
        <f t="shared" si="100"/>
        <v>149333.15136924892</v>
      </c>
      <c r="T115" s="4">
        <f t="shared" si="114"/>
        <v>0</v>
      </c>
      <c r="U115" s="4">
        <f t="shared" si="108"/>
        <v>149333.15136924892</v>
      </c>
      <c r="AE115" s="91" t="str">
        <f t="shared" ca="1" si="126"/>
        <v/>
      </c>
      <c r="AF115" s="70">
        <f t="shared" si="123"/>
        <v>44907</v>
      </c>
      <c r="AG115" s="10">
        <f t="shared" ref="AG115" si="148">AG114+3</f>
        <v>44907</v>
      </c>
      <c r="AH115" s="29">
        <f ca="1">IF(AG115=TODAY()-1,Loan!F85,IF(AG115&gt;$AB$13,$AB$55,AH114-AI115*AF114+AI115*AF115))</f>
        <v>1.583922261483961E-2</v>
      </c>
      <c r="AI115" s="87">
        <f t="shared" ca="1" si="93"/>
        <v>5.8303886925802069E-5</v>
      </c>
      <c r="AJ115" s="76" t="str">
        <f t="shared" ca="1" si="116"/>
        <v/>
      </c>
      <c r="AK115" s="76" t="str">
        <f t="shared" ca="1" si="124"/>
        <v/>
      </c>
      <c r="AL115" s="76" t="str">
        <f t="shared" ca="1" si="94"/>
        <v/>
      </c>
      <c r="AM115" s="11">
        <f t="shared" ca="1" si="117"/>
        <v>158.39222614839611</v>
      </c>
      <c r="AN115" s="11">
        <f t="shared" ca="1" si="118"/>
        <v>590.49311156467741</v>
      </c>
      <c r="AO115" s="11">
        <f t="shared" ca="1" si="86"/>
        <v>78.907024091966264</v>
      </c>
      <c r="AP115" s="12">
        <f t="shared" ca="1" si="87"/>
        <v>0.15423997255628125</v>
      </c>
      <c r="AQ115" s="11">
        <f t="shared" ca="1" si="119"/>
        <v>511.62664191419645</v>
      </c>
      <c r="AR115" s="11">
        <f t="shared" ca="1" si="88"/>
        <v>81.905915845172444</v>
      </c>
      <c r="AS115" s="12">
        <f t="shared" ca="1" si="89"/>
        <v>0.19060266558335909</v>
      </c>
      <c r="AT115" s="11">
        <f t="shared" ca="1" si="120"/>
        <v>460.50485767267293</v>
      </c>
      <c r="AU115" s="11">
        <f t="shared" ca="1" si="90"/>
        <v>84.855733960552868</v>
      </c>
      <c r="AV115" s="12">
        <f t="shared" ca="1" si="91"/>
        <v>0.22589094078542918</v>
      </c>
      <c r="AW115" s="10">
        <f t="shared" si="121"/>
        <v>44907</v>
      </c>
      <c r="AX115" s="76">
        <f t="shared" ca="1" si="141"/>
        <v>99213.360205606805</v>
      </c>
      <c r="AY115" s="75">
        <f t="shared" ca="1" si="125"/>
        <v>16.67650513618441</v>
      </c>
      <c r="AZ115" s="75">
        <f t="shared" ca="1" si="122"/>
        <v>10.067906123347234</v>
      </c>
      <c r="BA115" s="75">
        <f t="shared" ca="1" si="142"/>
        <v>6.6085990128371765</v>
      </c>
      <c r="BB115" s="75">
        <f t="shared" ca="1" si="143"/>
        <v>99206.751606593971</v>
      </c>
      <c r="BC115" s="12"/>
      <c r="BD115" s="12"/>
    </row>
    <row r="116" spans="3:56">
      <c r="C116" s="3">
        <f t="shared" si="101"/>
        <v>10</v>
      </c>
      <c r="D116" s="3">
        <f t="shared" si="110"/>
        <v>12</v>
      </c>
      <c r="E116" s="1">
        <f t="shared" si="111"/>
        <v>2028</v>
      </c>
      <c r="F116" s="3">
        <f t="shared" si="102"/>
        <v>66</v>
      </c>
      <c r="G116" s="3">
        <f t="shared" si="112"/>
        <v>112</v>
      </c>
      <c r="H116" s="4">
        <f t="shared" si="139"/>
        <v>149333.15136924892</v>
      </c>
      <c r="L116" s="25" t="str">
        <f t="shared" ca="1" si="104"/>
        <v/>
      </c>
      <c r="M116" s="4">
        <f t="shared" si="105"/>
        <v>149333.15136924892</v>
      </c>
      <c r="N116" s="5">
        <f t="shared" si="145"/>
        <v>2.18E-2</v>
      </c>
      <c r="O116" s="6">
        <f t="shared" si="106"/>
        <v>5.0499999999999996E-2</v>
      </c>
      <c r="P116" s="4">
        <f t="shared" si="99"/>
        <v>628.44367867892254</v>
      </c>
      <c r="Q116" s="7">
        <f t="shared" si="107"/>
        <v>1147.1423660440414</v>
      </c>
      <c r="R116" s="4">
        <f t="shared" si="113"/>
        <v>518.69868736511887</v>
      </c>
      <c r="S116" s="4">
        <f t="shared" si="100"/>
        <v>148814.45268188379</v>
      </c>
      <c r="T116" s="4">
        <f t="shared" si="114"/>
        <v>0</v>
      </c>
      <c r="U116" s="4">
        <f t="shared" si="108"/>
        <v>148814.45268188379</v>
      </c>
      <c r="AE116" s="91" t="str">
        <f t="shared" ca="1" si="126"/>
        <v/>
      </c>
      <c r="AF116" s="70">
        <f t="shared" si="123"/>
        <v>44908</v>
      </c>
      <c r="AG116" s="10">
        <f t="shared" ref="AG116" si="149">AG115+1</f>
        <v>44908</v>
      </c>
      <c r="AH116" s="29">
        <f ca="1">IF(AG116=TODAY()-1,Loan!F86,IF(AG116&gt;$AB$13,$AB$55,AH115-AI116*AF115+AI116*AF116))</f>
        <v>1.5897526501765569E-2</v>
      </c>
      <c r="AI116" s="87">
        <f t="shared" ca="1" si="93"/>
        <v>5.8303886925801934E-5</v>
      </c>
      <c r="AJ116" s="76" t="str">
        <f t="shared" ca="1" si="116"/>
        <v/>
      </c>
      <c r="AK116" s="76" t="str">
        <f t="shared" ca="1" si="124"/>
        <v/>
      </c>
      <c r="AL116" s="76" t="str">
        <f t="shared" ca="1" si="94"/>
        <v/>
      </c>
      <c r="AM116" s="11">
        <f t="shared" ca="1" si="117"/>
        <v>158.97526501765569</v>
      </c>
      <c r="AN116" s="11">
        <f t="shared" ca="1" si="118"/>
        <v>590.7958785552139</v>
      </c>
      <c r="AO116" s="11">
        <f t="shared" ca="1" si="86"/>
        <v>79.209791082502761</v>
      </c>
      <c r="AP116" s="12">
        <f t="shared" ca="1" si="87"/>
        <v>0.15483179277569378</v>
      </c>
      <c r="AQ116" s="11">
        <f t="shared" ca="1" si="119"/>
        <v>511.94318073116261</v>
      </c>
      <c r="AR116" s="11">
        <f t="shared" ca="1" si="88"/>
        <v>82.222454662138603</v>
      </c>
      <c r="AS116" s="12">
        <f t="shared" ca="1" si="89"/>
        <v>0.19133928077960941</v>
      </c>
      <c r="AT116" s="11">
        <f t="shared" ca="1" si="120"/>
        <v>460.83477323433033</v>
      </c>
      <c r="AU116" s="11">
        <f t="shared" ca="1" si="90"/>
        <v>85.185649522210269</v>
      </c>
      <c r="AV116" s="12">
        <f t="shared" ca="1" si="91"/>
        <v>0.22676919536086174</v>
      </c>
      <c r="AW116" s="10">
        <f t="shared" si="121"/>
        <v>44908</v>
      </c>
      <c r="AX116" s="76">
        <f t="shared" ca="1" si="141"/>
        <v>99206.751606593971</v>
      </c>
      <c r="AY116" s="75">
        <f t="shared" ca="1" si="125"/>
        <v>16.683476991145863</v>
      </c>
      <c r="AZ116" s="75">
        <f t="shared" ca="1" si="122"/>
        <v>10.083082457204641</v>
      </c>
      <c r="BA116" s="75">
        <f t="shared" ca="1" si="142"/>
        <v>6.6003945339412216</v>
      </c>
      <c r="BB116" s="75">
        <f t="shared" ca="1" si="143"/>
        <v>99200.151212060024</v>
      </c>
      <c r="BC116" s="12"/>
      <c r="BD116" s="12"/>
    </row>
    <row r="117" spans="3:56">
      <c r="C117" s="3">
        <f t="shared" si="101"/>
        <v>10</v>
      </c>
      <c r="D117" s="3">
        <f t="shared" si="110"/>
        <v>1</v>
      </c>
      <c r="E117" s="1">
        <f t="shared" si="111"/>
        <v>2029</v>
      </c>
      <c r="F117" s="3">
        <f t="shared" si="102"/>
        <v>66</v>
      </c>
      <c r="G117" s="3">
        <f t="shared" si="112"/>
        <v>113</v>
      </c>
      <c r="H117" s="4">
        <f t="shared" si="139"/>
        <v>148814.45268188379</v>
      </c>
      <c r="L117" s="25" t="str">
        <f t="shared" ca="1" si="104"/>
        <v/>
      </c>
      <c r="M117" s="4">
        <f t="shared" si="105"/>
        <v>148814.45268188379</v>
      </c>
      <c r="N117" s="5">
        <f t="shared" si="145"/>
        <v>2.18E-2</v>
      </c>
      <c r="O117" s="6">
        <f t="shared" si="106"/>
        <v>5.0499999999999996E-2</v>
      </c>
      <c r="P117" s="4">
        <f t="shared" si="99"/>
        <v>626.2608217029275</v>
      </c>
      <c r="Q117" s="7">
        <f t="shared" si="107"/>
        <v>1147.1423660440412</v>
      </c>
      <c r="R117" s="4">
        <f t="shared" si="113"/>
        <v>520.88154434111368</v>
      </c>
      <c r="S117" s="4">
        <f t="shared" si="100"/>
        <v>148293.57113754269</v>
      </c>
      <c r="T117" s="4">
        <f t="shared" si="114"/>
        <v>0</v>
      </c>
      <c r="U117" s="4">
        <f t="shared" si="108"/>
        <v>148293.57113754269</v>
      </c>
      <c r="AE117" s="91" t="str">
        <f t="shared" ca="1" si="126"/>
        <v/>
      </c>
      <c r="AF117" s="70">
        <f t="shared" si="123"/>
        <v>44909</v>
      </c>
      <c r="AG117" s="10">
        <f t="shared" si="98"/>
        <v>44909</v>
      </c>
      <c r="AH117" s="29">
        <f ca="1">IF(AG117=TODAY()-1,Loan!F87,IF(AG117&gt;$AB$13,$AB$55,AH116-AI117*AF116+AI117*AF117))</f>
        <v>1.5955830388691528E-2</v>
      </c>
      <c r="AI117" s="87">
        <f t="shared" ca="1" si="93"/>
        <v>5.8303886925801147E-5</v>
      </c>
      <c r="AJ117" s="76" t="str">
        <f t="shared" ca="1" si="116"/>
        <v/>
      </c>
      <c r="AK117" s="76" t="str">
        <f t="shared" ca="1" si="124"/>
        <v/>
      </c>
      <c r="AL117" s="76" t="str">
        <f t="shared" ca="1" si="94"/>
        <v/>
      </c>
      <c r="AM117" s="11">
        <f t="shared" ca="1" si="117"/>
        <v>159.55830388691527</v>
      </c>
      <c r="AN117" s="11">
        <f t="shared" ca="1" si="118"/>
        <v>591.09873454041144</v>
      </c>
      <c r="AO117" s="11">
        <f t="shared" ref="AO117:AO180" ca="1" si="150">AN117-AN$7</f>
        <v>79.5126470677003</v>
      </c>
      <c r="AP117" s="12">
        <f t="shared" ref="AP117:AP180" ca="1" si="151">AO117/AN$7</f>
        <v>0.15542378695343556</v>
      </c>
      <c r="AQ117" s="11">
        <f t="shared" ca="1" si="119"/>
        <v>512.2598274543675</v>
      </c>
      <c r="AR117" s="11">
        <f t="shared" ref="AR117:AR180" ca="1" si="152">AQ117-AQ$7</f>
        <v>82.539101385343486</v>
      </c>
      <c r="AS117" s="12">
        <f t="shared" ref="AS117:AS180" ca="1" si="153">AR117/AQ$7</f>
        <v>0.192076147083689</v>
      </c>
      <c r="AT117" s="11">
        <f t="shared" ca="1" si="120"/>
        <v>461.16481358077192</v>
      </c>
      <c r="AU117" s="11">
        <f t="shared" ref="AU117:AU180" ca="1" si="154">AT117-AT$7</f>
        <v>85.515689868651862</v>
      </c>
      <c r="AV117" s="12">
        <f t="shared" ref="AV117:AV180" ca="1" si="155">AU117/AT$7</f>
        <v>0.22764778212070871</v>
      </c>
      <c r="AW117" s="10">
        <f t="shared" si="121"/>
        <v>44909</v>
      </c>
      <c r="AX117" s="76">
        <f t="shared" ca="1" si="141"/>
        <v>99200.151212060024</v>
      </c>
      <c r="AY117" s="75">
        <f t="shared" ca="1" si="125"/>
        <v>16.692673396842824</v>
      </c>
      <c r="AZ117" s="75">
        <f t="shared" ca="1" si="122"/>
        <v>10.098257514980425</v>
      </c>
      <c r="BA117" s="75">
        <f t="shared" ca="1" si="142"/>
        <v>6.5944158818623997</v>
      </c>
      <c r="BB117" s="75">
        <f t="shared" ca="1" si="143"/>
        <v>99193.556796178163</v>
      </c>
      <c r="BC117" s="12"/>
      <c r="BD117" s="12"/>
    </row>
    <row r="118" spans="3:56">
      <c r="C118" s="3">
        <f t="shared" si="101"/>
        <v>10</v>
      </c>
      <c r="D118" s="3">
        <f t="shared" si="110"/>
        <v>2</v>
      </c>
      <c r="E118" s="1">
        <f t="shared" si="111"/>
        <v>2029</v>
      </c>
      <c r="F118" s="3">
        <f t="shared" si="102"/>
        <v>67</v>
      </c>
      <c r="G118" s="3">
        <f t="shared" si="112"/>
        <v>114</v>
      </c>
      <c r="H118" s="4">
        <f t="shared" si="139"/>
        <v>148293.57113754269</v>
      </c>
      <c r="L118" s="25" t="str">
        <f t="shared" ca="1" si="104"/>
        <v/>
      </c>
      <c r="M118" s="4">
        <f t="shared" si="105"/>
        <v>148293.57113754269</v>
      </c>
      <c r="N118" s="5">
        <f t="shared" si="145"/>
        <v>2.18E-2</v>
      </c>
      <c r="O118" s="6">
        <f t="shared" si="106"/>
        <v>5.0499999999999996E-2</v>
      </c>
      <c r="P118" s="4">
        <f t="shared" si="99"/>
        <v>624.06877853715878</v>
      </c>
      <c r="Q118" s="7">
        <f t="shared" si="107"/>
        <v>1147.1423660440416</v>
      </c>
      <c r="R118" s="4">
        <f t="shared" si="113"/>
        <v>523.07358750688286</v>
      </c>
      <c r="S118" s="4">
        <f t="shared" si="100"/>
        <v>147770.4975500358</v>
      </c>
      <c r="T118" s="4">
        <f t="shared" si="114"/>
        <v>0</v>
      </c>
      <c r="U118" s="4">
        <f t="shared" si="108"/>
        <v>147770.4975500358</v>
      </c>
      <c r="AE118" s="91" t="str">
        <f t="shared" ca="1" si="126"/>
        <v/>
      </c>
      <c r="AF118" s="70">
        <f t="shared" si="123"/>
        <v>44910</v>
      </c>
      <c r="AG118" s="10">
        <f t="shared" si="98"/>
        <v>44910</v>
      </c>
      <c r="AH118" s="29">
        <f ca="1">IF(AG118=TODAY()-1,Loan!F88,IF(AG118&gt;$AB$13,$AB$55,AH117-AI118*AF117+AI118*AF118))</f>
        <v>1.6014134275617486E-2</v>
      </c>
      <c r="AI118" s="87">
        <f t="shared" ca="1" si="93"/>
        <v>5.8303886925800348E-5</v>
      </c>
      <c r="AJ118" s="76" t="str">
        <f t="shared" ca="1" si="116"/>
        <v/>
      </c>
      <c r="AK118" s="76" t="str">
        <f t="shared" ca="1" si="124"/>
        <v/>
      </c>
      <c r="AL118" s="76" t="str">
        <f t="shared" ca="1" si="94"/>
        <v/>
      </c>
      <c r="AM118" s="11">
        <f t="shared" ca="1" si="117"/>
        <v>160.14134275617488</v>
      </c>
      <c r="AN118" s="11">
        <f t="shared" ca="1" si="118"/>
        <v>591.40167950443617</v>
      </c>
      <c r="AO118" s="11">
        <f t="shared" ca="1" si="150"/>
        <v>79.815592031725032</v>
      </c>
      <c r="AP118" s="12">
        <f t="shared" ca="1" si="151"/>
        <v>0.15601595505855606</v>
      </c>
      <c r="AQ118" s="11">
        <f t="shared" ca="1" si="119"/>
        <v>512.57658205442965</v>
      </c>
      <c r="AR118" s="11">
        <f t="shared" ca="1" si="152"/>
        <v>82.85585598540564</v>
      </c>
      <c r="AS118" s="12">
        <f t="shared" ca="1" si="153"/>
        <v>0.19281326442722452</v>
      </c>
      <c r="AT118" s="11">
        <f t="shared" ca="1" si="120"/>
        <v>461.49497866380693</v>
      </c>
      <c r="AU118" s="11">
        <f t="shared" ca="1" si="154"/>
        <v>85.845854951686874</v>
      </c>
      <c r="AV118" s="12">
        <f t="shared" ca="1" si="155"/>
        <v>0.22852670093668348</v>
      </c>
      <c r="AW118" s="10">
        <f t="shared" si="121"/>
        <v>44910</v>
      </c>
      <c r="AX118" s="76">
        <f t="shared" ca="1" si="141"/>
        <v>99193.556796178163</v>
      </c>
      <c r="AY118" s="75">
        <f t="shared" ca="1" si="125"/>
        <v>16.701872970394053</v>
      </c>
      <c r="AZ118" s="75">
        <f t="shared" ca="1" si="122"/>
        <v>10.113431073668668</v>
      </c>
      <c r="BA118" s="75">
        <f t="shared" ca="1" si="142"/>
        <v>6.588441896725385</v>
      </c>
      <c r="BB118" s="75">
        <f t="shared" ca="1" si="143"/>
        <v>99186.968354281431</v>
      </c>
      <c r="BC118" s="12"/>
      <c r="BD118" s="12"/>
    </row>
    <row r="119" spans="3:56">
      <c r="C119" s="3">
        <f t="shared" si="101"/>
        <v>10</v>
      </c>
      <c r="D119" s="3">
        <f t="shared" si="110"/>
        <v>3</v>
      </c>
      <c r="E119" s="1">
        <f t="shared" si="111"/>
        <v>2029</v>
      </c>
      <c r="F119" s="3">
        <f t="shared" si="102"/>
        <v>67</v>
      </c>
      <c r="G119" s="3">
        <f t="shared" si="112"/>
        <v>115</v>
      </c>
      <c r="H119" s="4">
        <f t="shared" si="139"/>
        <v>147770.4975500358</v>
      </c>
      <c r="L119" s="25" t="str">
        <f t="shared" ca="1" si="104"/>
        <v/>
      </c>
      <c r="M119" s="4">
        <f t="shared" si="105"/>
        <v>147770.4975500358</v>
      </c>
      <c r="N119" s="5">
        <f t="shared" si="145"/>
        <v>2.18E-2</v>
      </c>
      <c r="O119" s="6">
        <f t="shared" si="106"/>
        <v>5.0499999999999996E-2</v>
      </c>
      <c r="P119" s="4">
        <f t="shared" si="99"/>
        <v>621.86751052306727</v>
      </c>
      <c r="Q119" s="7">
        <f t="shared" si="107"/>
        <v>1147.1423660440416</v>
      </c>
      <c r="R119" s="4">
        <f t="shared" si="113"/>
        <v>525.27485552097437</v>
      </c>
      <c r="S119" s="4">
        <f t="shared" si="100"/>
        <v>147245.22269451481</v>
      </c>
      <c r="T119" s="4">
        <f t="shared" si="114"/>
        <v>0</v>
      </c>
      <c r="U119" s="4">
        <f t="shared" si="108"/>
        <v>147245.22269451481</v>
      </c>
      <c r="AE119" s="91" t="str">
        <f t="shared" ca="1" si="126"/>
        <v/>
      </c>
      <c r="AF119" s="70">
        <f t="shared" si="123"/>
        <v>44911</v>
      </c>
      <c r="AG119" s="10">
        <f t="shared" si="98"/>
        <v>44911</v>
      </c>
      <c r="AH119" s="29">
        <f ca="1">IF(AG119=TODAY()-1,Loan!F89,IF(AG119&gt;$AB$13,$AB$55,AH118-AI119*AF118+AI119*AF119))</f>
        <v>1.6072438162543445E-2</v>
      </c>
      <c r="AI119" s="87">
        <f t="shared" ca="1" si="93"/>
        <v>5.8303886925799541E-5</v>
      </c>
      <c r="AJ119" s="76" t="str">
        <f t="shared" ca="1" si="116"/>
        <v/>
      </c>
      <c r="AK119" s="76" t="str">
        <f t="shared" ca="1" si="124"/>
        <v/>
      </c>
      <c r="AL119" s="76" t="str">
        <f t="shared" ca="1" si="94"/>
        <v/>
      </c>
      <c r="AM119" s="11">
        <f t="shared" ca="1" si="117"/>
        <v>160.72438162543446</v>
      </c>
      <c r="AN119" s="11">
        <f t="shared" ca="1" si="118"/>
        <v>591.7047134314389</v>
      </c>
      <c r="AO119" s="11">
        <f t="shared" ca="1" si="150"/>
        <v>80.118625958727762</v>
      </c>
      <c r="AP119" s="12">
        <f t="shared" ca="1" si="151"/>
        <v>0.15660829706007481</v>
      </c>
      <c r="AQ119" s="11">
        <f t="shared" ca="1" si="119"/>
        <v>512.89344450193494</v>
      </c>
      <c r="AR119" s="11">
        <f t="shared" ca="1" si="152"/>
        <v>83.172718432910926</v>
      </c>
      <c r="AS119" s="12">
        <f t="shared" ca="1" si="153"/>
        <v>0.19355063274176654</v>
      </c>
      <c r="AT119" s="11">
        <f t="shared" ca="1" si="120"/>
        <v>461.82526843519469</v>
      </c>
      <c r="AU119" s="11">
        <f t="shared" ca="1" si="154"/>
        <v>86.176144723074628</v>
      </c>
      <c r="AV119" s="12">
        <f t="shared" ca="1" si="155"/>
        <v>0.22940595168036648</v>
      </c>
      <c r="AW119" s="10">
        <f t="shared" si="121"/>
        <v>44911</v>
      </c>
      <c r="AX119" s="76">
        <f t="shared" ca="1" si="141"/>
        <v>99186.968354281431</v>
      </c>
      <c r="AY119" s="75">
        <f t="shared" ca="1" si="125"/>
        <v>16.711075711208782</v>
      </c>
      <c r="AZ119" s="75">
        <f t="shared" ca="1" si="122"/>
        <v>10.128603135657832</v>
      </c>
      <c r="BA119" s="75">
        <f t="shared" ca="1" si="142"/>
        <v>6.5824725755509501</v>
      </c>
      <c r="BB119" s="75">
        <f t="shared" ca="1" si="143"/>
        <v>99180.385881705879</v>
      </c>
      <c r="BC119" s="12"/>
      <c r="BD119" s="12"/>
    </row>
    <row r="120" spans="3:56">
      <c r="C120" s="3">
        <f t="shared" si="101"/>
        <v>10</v>
      </c>
      <c r="D120" s="3">
        <f t="shared" si="110"/>
        <v>4</v>
      </c>
      <c r="E120" s="1">
        <f t="shared" si="111"/>
        <v>2029</v>
      </c>
      <c r="F120" s="3">
        <f t="shared" si="102"/>
        <v>67</v>
      </c>
      <c r="G120" s="3">
        <f t="shared" si="112"/>
        <v>116</v>
      </c>
      <c r="H120" s="4">
        <f t="shared" si="139"/>
        <v>147245.22269451481</v>
      </c>
      <c r="L120" s="25" t="str">
        <f t="shared" ca="1" si="104"/>
        <v/>
      </c>
      <c r="M120" s="4">
        <f t="shared" si="105"/>
        <v>147245.22269451481</v>
      </c>
      <c r="N120" s="5">
        <f t="shared" si="145"/>
        <v>2.18E-2</v>
      </c>
      <c r="O120" s="6">
        <f t="shared" si="106"/>
        <v>5.0499999999999996E-2</v>
      </c>
      <c r="P120" s="4">
        <f t="shared" si="99"/>
        <v>619.65697883941641</v>
      </c>
      <c r="Q120" s="7">
        <f t="shared" si="107"/>
        <v>1147.1423660440419</v>
      </c>
      <c r="R120" s="4">
        <f t="shared" si="113"/>
        <v>527.48538720462545</v>
      </c>
      <c r="S120" s="4">
        <f t="shared" si="100"/>
        <v>146717.73730731019</v>
      </c>
      <c r="T120" s="4">
        <f t="shared" si="114"/>
        <v>0</v>
      </c>
      <c r="U120" s="4">
        <f t="shared" si="108"/>
        <v>146717.73730731019</v>
      </c>
      <c r="AE120" s="91" t="str">
        <f t="shared" ca="1" si="126"/>
        <v/>
      </c>
      <c r="AF120" s="70">
        <f t="shared" si="123"/>
        <v>44914</v>
      </c>
      <c r="AG120" s="10">
        <f t="shared" ref="AG120" si="156">AG119+3</f>
        <v>44914</v>
      </c>
      <c r="AH120" s="29">
        <f ca="1">IF(AG120=TODAY()-1,Loan!F90,IF(AG120&gt;$AB$13,$AB$55,AH119-AI120*AF119+AI120*AF120))</f>
        <v>1.6247349823320434E-2</v>
      </c>
      <c r="AI120" s="87">
        <f t="shared" ca="1" si="93"/>
        <v>5.8303886925798728E-5</v>
      </c>
      <c r="AJ120" s="76" t="str">
        <f t="shared" ca="1" si="116"/>
        <v/>
      </c>
      <c r="AK120" s="76" t="str">
        <f t="shared" ca="1" si="124"/>
        <v/>
      </c>
      <c r="AL120" s="76" t="str">
        <f t="shared" ca="1" si="94"/>
        <v/>
      </c>
      <c r="AM120" s="11">
        <f t="shared" ca="1" si="117"/>
        <v>162.47349823320434</v>
      </c>
      <c r="AN120" s="11">
        <f t="shared" ca="1" si="118"/>
        <v>592.6143488315538</v>
      </c>
      <c r="AO120" s="11">
        <f t="shared" ca="1" si="150"/>
        <v>81.028261358842656</v>
      </c>
      <c r="AP120" s="12">
        <f t="shared" ca="1" si="151"/>
        <v>0.15838636613268894</v>
      </c>
      <c r="AQ120" s="11">
        <f t="shared" ca="1" si="119"/>
        <v>513.84467863447526</v>
      </c>
      <c r="AR120" s="11">
        <f t="shared" ca="1" si="152"/>
        <v>84.123952565451248</v>
      </c>
      <c r="AS120" s="12">
        <f t="shared" ca="1" si="153"/>
        <v>0.19576424282579011</v>
      </c>
      <c r="AT120" s="11">
        <f t="shared" ca="1" si="120"/>
        <v>462.81688539631989</v>
      </c>
      <c r="AU120" s="11">
        <f t="shared" ca="1" si="154"/>
        <v>87.167761684199832</v>
      </c>
      <c r="AV120" s="12">
        <f t="shared" ca="1" si="155"/>
        <v>0.23204569419147941</v>
      </c>
      <c r="AW120" s="10">
        <f t="shared" si="121"/>
        <v>44914</v>
      </c>
      <c r="AX120" s="76">
        <f t="shared" ca="1" si="141"/>
        <v>99180.385881705879</v>
      </c>
      <c r="AY120" s="75">
        <f t="shared" ca="1" si="125"/>
        <v>16.743138869462097</v>
      </c>
      <c r="AZ120" s="75">
        <f t="shared" ca="1" si="122"/>
        <v>10.175459193764798</v>
      </c>
      <c r="BA120" s="75">
        <f t="shared" ca="1" si="142"/>
        <v>6.567679675697299</v>
      </c>
      <c r="BB120" s="75">
        <f t="shared" ca="1" si="143"/>
        <v>99173.818202030176</v>
      </c>
      <c r="BC120" s="12"/>
      <c r="BD120" s="12"/>
    </row>
    <row r="121" spans="3:56">
      <c r="C121" s="3">
        <f t="shared" si="101"/>
        <v>10</v>
      </c>
      <c r="D121" s="3">
        <f t="shared" si="110"/>
        <v>5</v>
      </c>
      <c r="E121" s="1">
        <f t="shared" si="111"/>
        <v>2029</v>
      </c>
      <c r="F121" s="3">
        <f t="shared" si="102"/>
        <v>67</v>
      </c>
      <c r="G121" s="3">
        <f t="shared" si="112"/>
        <v>117</v>
      </c>
      <c r="H121" s="4">
        <f t="shared" si="139"/>
        <v>146717.73730731019</v>
      </c>
      <c r="L121" s="25" t="str">
        <f t="shared" ca="1" si="104"/>
        <v/>
      </c>
      <c r="M121" s="4">
        <f t="shared" si="105"/>
        <v>146717.73730731019</v>
      </c>
      <c r="N121" s="5">
        <f t="shared" si="145"/>
        <v>2.18E-2</v>
      </c>
      <c r="O121" s="6">
        <f t="shared" si="106"/>
        <v>5.0499999999999996E-2</v>
      </c>
      <c r="P121" s="4">
        <f t="shared" si="99"/>
        <v>617.437144501597</v>
      </c>
      <c r="Q121" s="7">
        <f t="shared" si="107"/>
        <v>1147.1423660440416</v>
      </c>
      <c r="R121" s="4">
        <f t="shared" si="113"/>
        <v>529.70522154244463</v>
      </c>
      <c r="S121" s="4">
        <f t="shared" si="100"/>
        <v>146188.03208576774</v>
      </c>
      <c r="T121" s="4">
        <f t="shared" si="114"/>
        <v>0</v>
      </c>
      <c r="U121" s="4">
        <f t="shared" si="108"/>
        <v>146188.03208576774</v>
      </c>
      <c r="AE121" s="91" t="str">
        <f t="shared" ca="1" si="126"/>
        <v/>
      </c>
      <c r="AF121" s="70">
        <f t="shared" si="123"/>
        <v>44915</v>
      </c>
      <c r="AG121" s="10">
        <f t="shared" ref="AG121" si="157">AG120+1</f>
        <v>44915</v>
      </c>
      <c r="AH121" s="29">
        <f ca="1">IF(AG121=TODAY()-1,Loan!F91,IF(AG121&gt;$AB$13,$AB$55,AH120-AI121*AF120+AI121*AF121))</f>
        <v>1.6305653710246393E-2</v>
      </c>
      <c r="AI121" s="87">
        <f t="shared" ref="AI121:AI184" ca="1" si="158">IF(AG121&lt;TODAY()-1,"",($AB$55-AH120)/($AB$53-AF120))</f>
        <v>5.8303886925800843E-5</v>
      </c>
      <c r="AJ121" s="76" t="str">
        <f t="shared" ca="1" si="116"/>
        <v/>
      </c>
      <c r="AK121" s="76" t="str">
        <f t="shared" ca="1" si="124"/>
        <v/>
      </c>
      <c r="AL121" s="76" t="str">
        <f t="shared" ref="AL121:AL184" ca="1" si="159">IF(AG121&gt;TODAY(),"",(AJ121-AJ115)/7)</f>
        <v/>
      </c>
      <c r="AM121" s="11">
        <f t="shared" ca="1" si="117"/>
        <v>163.05653710246392</v>
      </c>
      <c r="AN121" s="11">
        <f t="shared" ca="1" si="118"/>
        <v>592.91773845158639</v>
      </c>
      <c r="AO121" s="11">
        <f t="shared" ca="1" si="150"/>
        <v>81.331650978875246</v>
      </c>
      <c r="AP121" s="12">
        <f t="shared" ca="1" si="151"/>
        <v>0.15897940340923289</v>
      </c>
      <c r="AQ121" s="11">
        <f t="shared" ca="1" si="119"/>
        <v>514.16197217692945</v>
      </c>
      <c r="AR121" s="11">
        <f t="shared" ca="1" si="152"/>
        <v>84.441246107905442</v>
      </c>
      <c r="AS121" s="12">
        <f t="shared" ca="1" si="153"/>
        <v>0.19650261433827618</v>
      </c>
      <c r="AT121" s="11">
        <f t="shared" ca="1" si="120"/>
        <v>463.14767343769557</v>
      </c>
      <c r="AU121" s="11">
        <f t="shared" ca="1" si="154"/>
        <v>87.498549725575515</v>
      </c>
      <c r="AV121" s="12">
        <f t="shared" ca="1" si="155"/>
        <v>0.23292627135909497</v>
      </c>
      <c r="AW121" s="10">
        <f t="shared" si="121"/>
        <v>44915</v>
      </c>
      <c r="AX121" s="76">
        <f t="shared" ca="1" si="141"/>
        <v>99173.818202030176</v>
      </c>
      <c r="AY121" s="75">
        <f t="shared" ca="1" si="125"/>
        <v>16.750138309751346</v>
      </c>
      <c r="AZ121" s="75">
        <f t="shared" ca="1" si="122"/>
        <v>10.190627075639108</v>
      </c>
      <c r="BA121" s="75">
        <f t="shared" ca="1" si="142"/>
        <v>6.5595112341122377</v>
      </c>
      <c r="BB121" s="75">
        <f t="shared" ca="1" si="143"/>
        <v>99167.258690796065</v>
      </c>
      <c r="BC121" s="12"/>
      <c r="BD121" s="12"/>
    </row>
    <row r="122" spans="3:56">
      <c r="C122" s="3">
        <f t="shared" si="101"/>
        <v>10</v>
      </c>
      <c r="D122" s="3">
        <f t="shared" si="110"/>
        <v>6</v>
      </c>
      <c r="E122" s="1">
        <f t="shared" si="111"/>
        <v>2029</v>
      </c>
      <c r="F122" s="3">
        <f t="shared" si="102"/>
        <v>67</v>
      </c>
      <c r="G122" s="3">
        <f t="shared" si="112"/>
        <v>118</v>
      </c>
      <c r="H122" s="4">
        <f t="shared" si="139"/>
        <v>146188.03208576774</v>
      </c>
      <c r="L122" s="25" t="str">
        <f t="shared" ca="1" si="104"/>
        <v/>
      </c>
      <c r="M122" s="4">
        <f t="shared" si="105"/>
        <v>146188.03208576774</v>
      </c>
      <c r="N122" s="5">
        <f t="shared" si="145"/>
        <v>2.18E-2</v>
      </c>
      <c r="O122" s="6">
        <f t="shared" si="106"/>
        <v>5.0499999999999996E-2</v>
      </c>
      <c r="P122" s="4">
        <f t="shared" si="99"/>
        <v>615.20796836093916</v>
      </c>
      <c r="Q122" s="7">
        <f t="shared" si="107"/>
        <v>1147.1423660440416</v>
      </c>
      <c r="R122" s="4">
        <f t="shared" si="113"/>
        <v>531.93439768310247</v>
      </c>
      <c r="S122" s="4">
        <f t="shared" si="100"/>
        <v>145656.09768808464</v>
      </c>
      <c r="T122" s="4">
        <f t="shared" si="114"/>
        <v>0</v>
      </c>
      <c r="U122" s="4">
        <f t="shared" si="108"/>
        <v>145656.09768808464</v>
      </c>
      <c r="AE122" s="91" t="str">
        <f t="shared" ca="1" si="126"/>
        <v/>
      </c>
      <c r="AF122" s="70">
        <f t="shared" si="123"/>
        <v>44916</v>
      </c>
      <c r="AG122" s="10">
        <f t="shared" si="98"/>
        <v>44916</v>
      </c>
      <c r="AH122" s="29">
        <f ca="1">IF(AG122=TODAY()-1,Loan!F92,IF(AG122&gt;$AB$13,$AB$55,AH121-AI122*AF121+AI122*AF122))</f>
        <v>1.6363957597172352E-2</v>
      </c>
      <c r="AI122" s="87">
        <f t="shared" ca="1" si="158"/>
        <v>5.8303886925800023E-5</v>
      </c>
      <c r="AJ122" s="76" t="str">
        <f t="shared" ca="1" si="116"/>
        <v/>
      </c>
      <c r="AK122" s="76" t="str">
        <f t="shared" ca="1" si="124"/>
        <v/>
      </c>
      <c r="AL122" s="76" t="str">
        <f t="shared" ca="1" si="159"/>
        <v/>
      </c>
      <c r="AM122" s="11">
        <f t="shared" ca="1" si="117"/>
        <v>163.6395759717235</v>
      </c>
      <c r="AN122" s="11">
        <f t="shared" ca="1" si="118"/>
        <v>593.22121695507394</v>
      </c>
      <c r="AO122" s="11">
        <f t="shared" ca="1" si="150"/>
        <v>81.6351294823628</v>
      </c>
      <c r="AP122" s="12">
        <f t="shared" ca="1" si="151"/>
        <v>0.15957261442673099</v>
      </c>
      <c r="AQ122" s="11">
        <f t="shared" ca="1" si="119"/>
        <v>514.47937341925422</v>
      </c>
      <c r="AR122" s="11">
        <f t="shared" ca="1" si="152"/>
        <v>84.758647350230206</v>
      </c>
      <c r="AS122" s="12">
        <f t="shared" ca="1" si="153"/>
        <v>0.19724123647835368</v>
      </c>
      <c r="AT122" s="11">
        <f t="shared" ca="1" si="120"/>
        <v>463.4785859254668</v>
      </c>
      <c r="AU122" s="11">
        <f t="shared" ca="1" si="154"/>
        <v>87.829462213346744</v>
      </c>
      <c r="AV122" s="12">
        <f t="shared" ca="1" si="155"/>
        <v>0.23380717981031454</v>
      </c>
      <c r="AW122" s="10">
        <f t="shared" si="121"/>
        <v>44916</v>
      </c>
      <c r="AX122" s="76">
        <f t="shared" ca="1" si="141"/>
        <v>99167.258690796065</v>
      </c>
      <c r="AY122" s="75">
        <f t="shared" ca="1" si="125"/>
        <v>16.759358100286526</v>
      </c>
      <c r="AZ122" s="75">
        <f t="shared" ca="1" si="122"/>
        <v>10.205793699969549</v>
      </c>
      <c r="BA122" s="75">
        <f t="shared" ca="1" si="142"/>
        <v>6.5535644003169775</v>
      </c>
      <c r="BB122" s="75">
        <f t="shared" ca="1" si="143"/>
        <v>99160.705126395755</v>
      </c>
      <c r="BC122" s="12"/>
      <c r="BD122" s="12"/>
    </row>
    <row r="123" spans="3:56">
      <c r="C123" s="3">
        <f t="shared" si="101"/>
        <v>10</v>
      </c>
      <c r="D123" s="3">
        <f t="shared" si="110"/>
        <v>7</v>
      </c>
      <c r="E123" s="1">
        <f t="shared" si="111"/>
        <v>2029</v>
      </c>
      <c r="F123" s="3">
        <f t="shared" si="102"/>
        <v>67</v>
      </c>
      <c r="G123" s="3">
        <f t="shared" si="112"/>
        <v>119</v>
      </c>
      <c r="H123" s="4">
        <f t="shared" si="139"/>
        <v>145656.09768808464</v>
      </c>
      <c r="L123" s="25" t="str">
        <f t="shared" ca="1" si="104"/>
        <v/>
      </c>
      <c r="M123" s="4">
        <f t="shared" si="105"/>
        <v>145656.09768808464</v>
      </c>
      <c r="N123" s="5">
        <f t="shared" si="145"/>
        <v>2.18E-2</v>
      </c>
      <c r="O123" s="6">
        <f t="shared" si="106"/>
        <v>5.0499999999999996E-2</v>
      </c>
      <c r="P123" s="4">
        <f t="shared" si="99"/>
        <v>612.96941110402281</v>
      </c>
      <c r="Q123" s="7">
        <f t="shared" si="107"/>
        <v>1147.1423660440416</v>
      </c>
      <c r="R123" s="4">
        <f t="shared" si="113"/>
        <v>534.17295494001883</v>
      </c>
      <c r="S123" s="4">
        <f t="shared" si="100"/>
        <v>145121.92473314464</v>
      </c>
      <c r="T123" s="4">
        <f t="shared" si="114"/>
        <v>0</v>
      </c>
      <c r="U123" s="4">
        <f t="shared" si="108"/>
        <v>145121.92473314464</v>
      </c>
      <c r="AE123" s="91" t="str">
        <f t="shared" ca="1" si="126"/>
        <v/>
      </c>
      <c r="AF123" s="70">
        <f t="shared" si="123"/>
        <v>44917</v>
      </c>
      <c r="AG123" s="10">
        <f t="shared" si="98"/>
        <v>44917</v>
      </c>
      <c r="AH123" s="29">
        <f ca="1">IF(AG123=TODAY()-1,Loan!F93,IF(AG123&gt;$AB$13,$AB$55,AH122-AI123*AF122+AI123*AF123))</f>
        <v>1.6422261484098311E-2</v>
      </c>
      <c r="AI123" s="87">
        <f t="shared" ca="1" si="158"/>
        <v>5.8303886925799189E-5</v>
      </c>
      <c r="AJ123" s="76" t="str">
        <f t="shared" ca="1" si="116"/>
        <v/>
      </c>
      <c r="AK123" s="76" t="str">
        <f t="shared" ca="1" si="124"/>
        <v/>
      </c>
      <c r="AL123" s="76" t="str">
        <f t="shared" ca="1" si="159"/>
        <v/>
      </c>
      <c r="AM123" s="11">
        <f t="shared" ca="1" si="117"/>
        <v>164.22261484098311</v>
      </c>
      <c r="AN123" s="11">
        <f t="shared" ca="1" si="118"/>
        <v>593.52478432603084</v>
      </c>
      <c r="AO123" s="11">
        <f t="shared" ca="1" si="150"/>
        <v>81.938696853319698</v>
      </c>
      <c r="AP123" s="12">
        <f t="shared" ca="1" si="151"/>
        <v>0.16016599915393603</v>
      </c>
      <c r="AQ123" s="11">
        <f t="shared" ca="1" si="119"/>
        <v>514.7968823318148</v>
      </c>
      <c r="AR123" s="11">
        <f t="shared" ca="1" si="152"/>
        <v>85.076156262790789</v>
      </c>
      <c r="AS123" s="12">
        <f t="shared" ca="1" si="153"/>
        <v>0.19798010917705983</v>
      </c>
      <c r="AT123" s="11">
        <f t="shared" ca="1" si="120"/>
        <v>463.80962281107526</v>
      </c>
      <c r="AU123" s="11">
        <f t="shared" ca="1" si="154"/>
        <v>88.160499098955199</v>
      </c>
      <c r="AV123" s="12">
        <f t="shared" ca="1" si="155"/>
        <v>0.23468841941587301</v>
      </c>
      <c r="AW123" s="10">
        <f t="shared" si="121"/>
        <v>44917</v>
      </c>
      <c r="AX123" s="76">
        <f t="shared" ca="1" si="141"/>
        <v>99160.705126395755</v>
      </c>
      <c r="AY123" s="75">
        <f t="shared" ca="1" si="125"/>
        <v>16.768581055077856</v>
      </c>
      <c r="AZ123" s="75">
        <f t="shared" ca="1" si="122"/>
        <v>10.220958841678984</v>
      </c>
      <c r="BA123" s="75">
        <f t="shared" ca="1" si="142"/>
        <v>6.5476222133988724</v>
      </c>
      <c r="BB123" s="75">
        <f t="shared" ca="1" si="143"/>
        <v>99154.157504182353</v>
      </c>
      <c r="BC123" s="12"/>
      <c r="BD123" s="12"/>
    </row>
    <row r="124" spans="3:56">
      <c r="C124" s="3">
        <f t="shared" si="101"/>
        <v>10</v>
      </c>
      <c r="D124" s="3">
        <f t="shared" si="110"/>
        <v>8</v>
      </c>
      <c r="E124" s="1">
        <f t="shared" si="111"/>
        <v>2029</v>
      </c>
      <c r="F124" s="3">
        <f t="shared" si="102"/>
        <v>67</v>
      </c>
      <c r="G124" s="3">
        <f t="shared" si="112"/>
        <v>120</v>
      </c>
      <c r="H124" s="4">
        <f t="shared" si="139"/>
        <v>145121.92473314464</v>
      </c>
      <c r="L124" s="25" t="str">
        <f t="shared" ca="1" si="104"/>
        <v/>
      </c>
      <c r="M124" s="4">
        <f t="shared" si="105"/>
        <v>145121.92473314464</v>
      </c>
      <c r="N124" s="5">
        <f t="shared" si="145"/>
        <v>2.18E-2</v>
      </c>
      <c r="O124" s="6">
        <f t="shared" si="106"/>
        <v>5.0499999999999996E-2</v>
      </c>
      <c r="P124" s="4">
        <f t="shared" si="99"/>
        <v>610.72143325198363</v>
      </c>
      <c r="Q124" s="7">
        <f t="shared" si="107"/>
        <v>1147.1423660440416</v>
      </c>
      <c r="R124" s="4">
        <f t="shared" si="113"/>
        <v>536.42093279205801</v>
      </c>
      <c r="S124" s="4">
        <f t="shared" si="100"/>
        <v>144585.50380035257</v>
      </c>
      <c r="T124" s="4">
        <f t="shared" si="114"/>
        <v>0</v>
      </c>
      <c r="U124" s="4">
        <f t="shared" si="108"/>
        <v>144585.50380035257</v>
      </c>
      <c r="AE124" s="91" t="str">
        <f t="shared" ca="1" si="126"/>
        <v/>
      </c>
      <c r="AF124" s="70">
        <f t="shared" si="123"/>
        <v>44918</v>
      </c>
      <c r="AG124" s="10">
        <f t="shared" si="98"/>
        <v>44918</v>
      </c>
      <c r="AH124" s="29">
        <f ca="1">IF(AG124=TODAY()-1,Loan!F94,IF(AG124&gt;$AB$13,$AB$55,AH123-AI124*AF123+AI124*AF124))</f>
        <v>1.6480565371024269E-2</v>
      </c>
      <c r="AI124" s="87">
        <f t="shared" ca="1" si="158"/>
        <v>5.8303886925798349E-5</v>
      </c>
      <c r="AJ124" s="76" t="str">
        <f t="shared" ca="1" si="116"/>
        <v/>
      </c>
      <c r="AK124" s="76" t="str">
        <f t="shared" ca="1" si="124"/>
        <v/>
      </c>
      <c r="AL124" s="76" t="str">
        <f t="shared" ca="1" si="159"/>
        <v/>
      </c>
      <c r="AM124" s="11">
        <f t="shared" ca="1" si="117"/>
        <v>164.80565371024269</v>
      </c>
      <c r="AN124" s="11">
        <f t="shared" ca="1" si="118"/>
        <v>593.82844054846009</v>
      </c>
      <c r="AO124" s="11">
        <f t="shared" ca="1" si="150"/>
        <v>82.242353075748952</v>
      </c>
      <c r="AP124" s="12">
        <f t="shared" ca="1" si="151"/>
        <v>0.16075955755957866</v>
      </c>
      <c r="AQ124" s="11">
        <f t="shared" ca="1" si="119"/>
        <v>515.11449888494758</v>
      </c>
      <c r="AR124" s="11">
        <f t="shared" ca="1" si="152"/>
        <v>85.393772815923569</v>
      </c>
      <c r="AS124" s="12">
        <f t="shared" ca="1" si="153"/>
        <v>0.1987192323653646</v>
      </c>
      <c r="AT124" s="11">
        <f t="shared" ca="1" si="120"/>
        <v>464.14078404591658</v>
      </c>
      <c r="AU124" s="11">
        <f t="shared" ca="1" si="154"/>
        <v>88.491660333796517</v>
      </c>
      <c r="AV124" s="12">
        <f t="shared" ca="1" si="155"/>
        <v>0.23556999004638274</v>
      </c>
      <c r="AW124" s="10">
        <f t="shared" si="121"/>
        <v>44918</v>
      </c>
      <c r="AX124" s="76">
        <f t="shared" ca="1" si="141"/>
        <v>99154.157504182353</v>
      </c>
      <c r="AY124" s="75">
        <f t="shared" ca="1" si="125"/>
        <v>16.777807173573443</v>
      </c>
      <c r="AZ124" s="75">
        <f t="shared" ca="1" si="122"/>
        <v>10.23612250313748</v>
      </c>
      <c r="BA124" s="75">
        <f t="shared" ca="1" si="142"/>
        <v>6.5416846704359628</v>
      </c>
      <c r="BB124" s="75">
        <f t="shared" ca="1" si="143"/>
        <v>99147.615819511921</v>
      </c>
      <c r="BC124" s="12"/>
      <c r="BD124" s="12"/>
    </row>
    <row r="125" spans="3:56">
      <c r="C125" s="3">
        <f t="shared" si="101"/>
        <v>11</v>
      </c>
      <c r="D125" s="3">
        <f t="shared" si="110"/>
        <v>9</v>
      </c>
      <c r="E125" s="1">
        <f t="shared" si="111"/>
        <v>2029</v>
      </c>
      <c r="F125" s="3">
        <f t="shared" si="102"/>
        <v>67</v>
      </c>
      <c r="G125" s="3">
        <f t="shared" si="112"/>
        <v>121</v>
      </c>
      <c r="H125" s="4">
        <f t="shared" si="139"/>
        <v>144585.50380035257</v>
      </c>
      <c r="L125" s="25" t="str">
        <f t="shared" ca="1" si="104"/>
        <v/>
      </c>
      <c r="M125" s="4">
        <f t="shared" si="105"/>
        <v>144585.50380035257</v>
      </c>
      <c r="N125" s="5">
        <f t="shared" si="145"/>
        <v>2.18E-2</v>
      </c>
      <c r="O125" s="6">
        <f t="shared" si="106"/>
        <v>5.0499999999999996E-2</v>
      </c>
      <c r="P125" s="4">
        <f t="shared" si="99"/>
        <v>608.46399515981705</v>
      </c>
      <c r="Q125" s="7">
        <f t="shared" si="107"/>
        <v>1147.1423660440421</v>
      </c>
      <c r="R125" s="4">
        <f t="shared" si="113"/>
        <v>538.67837088422505</v>
      </c>
      <c r="S125" s="4">
        <f t="shared" si="100"/>
        <v>144046.82542946836</v>
      </c>
      <c r="T125" s="4">
        <f t="shared" si="114"/>
        <v>0</v>
      </c>
      <c r="U125" s="4">
        <f t="shared" si="108"/>
        <v>144046.82542946836</v>
      </c>
      <c r="AE125" s="91" t="str">
        <f t="shared" ca="1" si="126"/>
        <v/>
      </c>
      <c r="AF125" s="70">
        <f t="shared" si="123"/>
        <v>44921</v>
      </c>
      <c r="AG125" s="10">
        <f t="shared" ref="AG125" si="160">AG124+3</f>
        <v>44921</v>
      </c>
      <c r="AH125" s="29">
        <f ca="1">IF(AG125=TODAY()-1,Loan!F95,IF(AG125&gt;$AB$13,$AB$55,AH124-AI125*AF124+AI125*AF125))</f>
        <v>1.6655477031801702E-2</v>
      </c>
      <c r="AI125" s="87">
        <f t="shared" ca="1" si="158"/>
        <v>5.8303886925797502E-5</v>
      </c>
      <c r="AJ125" s="76" t="str">
        <f t="shared" ca="1" si="116"/>
        <v/>
      </c>
      <c r="AK125" s="76" t="str">
        <f t="shared" ca="1" si="124"/>
        <v/>
      </c>
      <c r="AL125" s="76" t="str">
        <f t="shared" ca="1" si="159"/>
        <v/>
      </c>
      <c r="AM125" s="11">
        <f t="shared" ca="1" si="117"/>
        <v>166.55477031801701</v>
      </c>
      <c r="AN125" s="11">
        <f t="shared" ca="1" si="118"/>
        <v>594.73994216440747</v>
      </c>
      <c r="AO125" s="11">
        <f t="shared" ca="1" si="150"/>
        <v>83.153854691696324</v>
      </c>
      <c r="AP125" s="12">
        <f t="shared" ca="1" si="151"/>
        <v>0.16254127453403799</v>
      </c>
      <c r="AQ125" s="11">
        <f t="shared" ca="1" si="119"/>
        <v>516.06799409070311</v>
      </c>
      <c r="AR125" s="11">
        <f t="shared" ca="1" si="152"/>
        <v>86.347268021679099</v>
      </c>
      <c r="AS125" s="12">
        <f t="shared" ca="1" si="153"/>
        <v>0.20093810417654731</v>
      </c>
      <c r="AT125" s="11">
        <f t="shared" ca="1" si="120"/>
        <v>465.1350133590941</v>
      </c>
      <c r="AU125" s="11">
        <f t="shared" ca="1" si="154"/>
        <v>89.485889646974044</v>
      </c>
      <c r="AV125" s="12">
        <f t="shared" ca="1" si="155"/>
        <v>0.23821668679187935</v>
      </c>
      <c r="AW125" s="10">
        <f t="shared" si="121"/>
        <v>44921</v>
      </c>
      <c r="AX125" s="76">
        <f t="shared" ca="1" si="141"/>
        <v>99147.615819511921</v>
      </c>
      <c r="AY125" s="75">
        <f t="shared" ca="1" si="125"/>
        <v>16.809931998827768</v>
      </c>
      <c r="AZ125" s="75">
        <f t="shared" ca="1" si="122"/>
        <v>10.282959707982007</v>
      </c>
      <c r="BA125" s="75">
        <f t="shared" ca="1" si="142"/>
        <v>6.5269722908457606</v>
      </c>
      <c r="BB125" s="75">
        <f t="shared" ca="1" si="143"/>
        <v>99141.088847221079</v>
      </c>
      <c r="BC125" s="12"/>
      <c r="BD125" s="12"/>
    </row>
    <row r="126" spans="3:56">
      <c r="C126" s="3">
        <f t="shared" si="101"/>
        <v>11</v>
      </c>
      <c r="D126" s="3">
        <f t="shared" si="110"/>
        <v>10</v>
      </c>
      <c r="E126" s="1">
        <f t="shared" si="111"/>
        <v>2029</v>
      </c>
      <c r="F126" s="3">
        <f t="shared" si="102"/>
        <v>67</v>
      </c>
      <c r="G126" s="3">
        <f t="shared" si="112"/>
        <v>122</v>
      </c>
      <c r="H126" s="4">
        <f t="shared" si="139"/>
        <v>144046.82542946836</v>
      </c>
      <c r="L126" s="25" t="str">
        <f t="shared" ca="1" si="104"/>
        <v/>
      </c>
      <c r="M126" s="4">
        <f t="shared" si="105"/>
        <v>144046.82542946836</v>
      </c>
      <c r="N126" s="5">
        <f t="shared" si="145"/>
        <v>2.18E-2</v>
      </c>
      <c r="O126" s="6">
        <f t="shared" si="106"/>
        <v>5.0499999999999996E-2</v>
      </c>
      <c r="P126" s="4">
        <f t="shared" si="99"/>
        <v>606.19705701567932</v>
      </c>
      <c r="Q126" s="7">
        <f t="shared" si="107"/>
        <v>1147.1423660440423</v>
      </c>
      <c r="R126" s="4">
        <f t="shared" si="113"/>
        <v>540.945309028363</v>
      </c>
      <c r="S126" s="4">
        <f t="shared" si="100"/>
        <v>143505.88012044001</v>
      </c>
      <c r="T126" s="4">
        <f t="shared" si="114"/>
        <v>0</v>
      </c>
      <c r="U126" s="4">
        <f t="shared" si="108"/>
        <v>143505.88012044001</v>
      </c>
      <c r="AE126" s="91" t="str">
        <f t="shared" ca="1" si="126"/>
        <v/>
      </c>
      <c r="AF126" s="70">
        <f t="shared" si="123"/>
        <v>44922</v>
      </c>
      <c r="AG126" s="10">
        <f t="shared" ref="AG126" si="161">AG125+1</f>
        <v>44922</v>
      </c>
      <c r="AH126" s="29">
        <f ca="1">IF(AG126=TODAY()-1,Loan!F96,IF(AG126&gt;$AB$13,$AB$55,AH125-AI126*AF125+AI126*AF126))</f>
        <v>1.6713780918727661E-2</v>
      </c>
      <c r="AI126" s="87">
        <f t="shared" ca="1" si="158"/>
        <v>5.8303886925797285E-5</v>
      </c>
      <c r="AJ126" s="76" t="str">
        <f t="shared" ca="1" si="116"/>
        <v/>
      </c>
      <c r="AK126" s="76" t="str">
        <f t="shared" ca="1" si="124"/>
        <v/>
      </c>
      <c r="AL126" s="76" t="str">
        <f t="shared" ca="1" si="159"/>
        <v/>
      </c>
      <c r="AM126" s="11">
        <f t="shared" ca="1" si="117"/>
        <v>167.13780918727662</v>
      </c>
      <c r="AN126" s="11">
        <f t="shared" ca="1" si="118"/>
        <v>595.04395363247204</v>
      </c>
      <c r="AO126" s="11">
        <f t="shared" ca="1" si="150"/>
        <v>83.457866159760897</v>
      </c>
      <c r="AP126" s="12">
        <f t="shared" ca="1" si="151"/>
        <v>0.16313552734018139</v>
      </c>
      <c r="AQ126" s="11">
        <f t="shared" ca="1" si="119"/>
        <v>516.38604090889078</v>
      </c>
      <c r="AR126" s="11">
        <f t="shared" ca="1" si="152"/>
        <v>86.665314839866767</v>
      </c>
      <c r="AS126" s="12">
        <f t="shared" ca="1" si="153"/>
        <v>0.20167822863155577</v>
      </c>
      <c r="AT126" s="11">
        <f t="shared" ca="1" si="120"/>
        <v>465.46667150388237</v>
      </c>
      <c r="AU126" s="11">
        <f t="shared" ca="1" si="154"/>
        <v>89.817547791762308</v>
      </c>
      <c r="AV126" s="12">
        <f t="shared" ca="1" si="155"/>
        <v>0.23909958022581276</v>
      </c>
      <c r="AW126" s="10">
        <f t="shared" si="121"/>
        <v>44922</v>
      </c>
      <c r="AX126" s="76">
        <f t="shared" ca="1" si="141"/>
        <v>99141.088847221079</v>
      </c>
      <c r="AY126" s="75">
        <f t="shared" ca="1" si="125"/>
        <v>16.816959019671142</v>
      </c>
      <c r="AZ126" s="75">
        <f t="shared" ca="1" si="122"/>
        <v>10.298119239993575</v>
      </c>
      <c r="BA126" s="75">
        <f t="shared" ca="1" si="142"/>
        <v>6.5188397796775668</v>
      </c>
      <c r="BB126" s="75">
        <f t="shared" ca="1" si="143"/>
        <v>99134.570007441405</v>
      </c>
      <c r="BC126" s="12"/>
      <c r="BD126" s="12"/>
    </row>
    <row r="127" spans="3:56">
      <c r="C127" s="3">
        <f t="shared" si="101"/>
        <v>11</v>
      </c>
      <c r="D127" s="3">
        <f t="shared" si="110"/>
        <v>11</v>
      </c>
      <c r="E127" s="1">
        <f t="shared" si="111"/>
        <v>2029</v>
      </c>
      <c r="F127" s="3">
        <f t="shared" si="102"/>
        <v>67</v>
      </c>
      <c r="G127" s="3">
        <f t="shared" si="112"/>
        <v>123</v>
      </c>
      <c r="H127" s="4">
        <f t="shared" si="139"/>
        <v>143505.88012044001</v>
      </c>
      <c r="L127" s="25" t="str">
        <f t="shared" ca="1" si="104"/>
        <v/>
      </c>
      <c r="M127" s="4">
        <f t="shared" si="105"/>
        <v>143505.88012044001</v>
      </c>
      <c r="N127" s="5">
        <f t="shared" si="145"/>
        <v>2.18E-2</v>
      </c>
      <c r="O127" s="6">
        <f t="shared" si="106"/>
        <v>5.0499999999999996E-2</v>
      </c>
      <c r="P127" s="4">
        <f t="shared" si="99"/>
        <v>603.92057884018493</v>
      </c>
      <c r="Q127" s="7">
        <f t="shared" si="107"/>
        <v>1147.1423660440423</v>
      </c>
      <c r="R127" s="4">
        <f t="shared" si="113"/>
        <v>543.22178720385739</v>
      </c>
      <c r="S127" s="4">
        <f t="shared" si="100"/>
        <v>142962.65833323615</v>
      </c>
      <c r="T127" s="4">
        <f t="shared" si="114"/>
        <v>0</v>
      </c>
      <c r="U127" s="4">
        <f t="shared" si="108"/>
        <v>142962.65833323615</v>
      </c>
      <c r="AE127" s="91" t="str">
        <f t="shared" ca="1" si="126"/>
        <v/>
      </c>
      <c r="AF127" s="70">
        <f t="shared" si="123"/>
        <v>44923</v>
      </c>
      <c r="AG127" s="10">
        <f t="shared" si="98"/>
        <v>44923</v>
      </c>
      <c r="AH127" s="29">
        <f ca="1">IF(AG127=TODAY()-1,Loan!F97,IF(AG127&gt;$AB$13,$AB$55,AH126-AI127*AF126+AI127*AF127))</f>
        <v>1.677208480565362E-2</v>
      </c>
      <c r="AI127" s="87">
        <f t="shared" ca="1" si="158"/>
        <v>5.8303886925796411E-5</v>
      </c>
      <c r="AJ127" s="76" t="str">
        <f t="shared" ca="1" si="116"/>
        <v/>
      </c>
      <c r="AK127" s="76" t="str">
        <f t="shared" ca="1" si="124"/>
        <v/>
      </c>
      <c r="AL127" s="76" t="str">
        <f t="shared" ca="1" si="159"/>
        <v/>
      </c>
      <c r="AM127" s="11">
        <f t="shared" ca="1" si="117"/>
        <v>167.7208480565362</v>
      </c>
      <c r="AN127" s="11">
        <f t="shared" ca="1" si="118"/>
        <v>595.34805387173151</v>
      </c>
      <c r="AO127" s="11">
        <f t="shared" ca="1" si="150"/>
        <v>83.761966399020366</v>
      </c>
      <c r="AP127" s="12">
        <f t="shared" ca="1" si="151"/>
        <v>0.16372995366784357</v>
      </c>
      <c r="AQ127" s="11">
        <f t="shared" ca="1" si="119"/>
        <v>516.70419521882104</v>
      </c>
      <c r="AR127" s="11">
        <f t="shared" ca="1" si="152"/>
        <v>86.983469149797031</v>
      </c>
      <c r="AS127" s="12">
        <f t="shared" ca="1" si="153"/>
        <v>0.20241860322982255</v>
      </c>
      <c r="AT127" s="11">
        <f t="shared" ca="1" si="120"/>
        <v>465.79845375412532</v>
      </c>
      <c r="AU127" s="11">
        <f t="shared" ca="1" si="154"/>
        <v>90.149330042005261</v>
      </c>
      <c r="AV127" s="12">
        <f t="shared" ca="1" si="155"/>
        <v>0.23998280403574559</v>
      </c>
      <c r="AW127" s="10">
        <f t="shared" si="121"/>
        <v>44923</v>
      </c>
      <c r="AX127" s="76">
        <f t="shared" ca="1" si="141"/>
        <v>99134.570007441405</v>
      </c>
      <c r="AY127" s="75">
        <f t="shared" ca="1" si="125"/>
        <v>16.826202165704874</v>
      </c>
      <c r="AZ127" s="75">
        <f t="shared" ca="1" si="122"/>
        <v>10.313277532861839</v>
      </c>
      <c r="BA127" s="75">
        <f t="shared" ca="1" si="142"/>
        <v>6.5129246328430348</v>
      </c>
      <c r="BB127" s="75">
        <f t="shared" ca="1" si="143"/>
        <v>99128.057082808562</v>
      </c>
      <c r="BC127" s="12"/>
      <c r="BD127" s="12"/>
    </row>
    <row r="128" spans="3:56">
      <c r="C128" s="3">
        <f t="shared" si="101"/>
        <v>11</v>
      </c>
      <c r="D128" s="3">
        <f t="shared" si="110"/>
        <v>12</v>
      </c>
      <c r="E128" s="1">
        <f t="shared" si="111"/>
        <v>2029</v>
      </c>
      <c r="F128" s="3">
        <f t="shared" si="102"/>
        <v>67</v>
      </c>
      <c r="G128" s="3">
        <f t="shared" si="112"/>
        <v>124</v>
      </c>
      <c r="H128" s="4">
        <f t="shared" si="139"/>
        <v>142962.65833323615</v>
      </c>
      <c r="L128" s="25" t="str">
        <f t="shared" ca="1" si="104"/>
        <v/>
      </c>
      <c r="M128" s="4">
        <f t="shared" si="105"/>
        <v>142962.65833323615</v>
      </c>
      <c r="N128" s="5">
        <f t="shared" si="145"/>
        <v>2.18E-2</v>
      </c>
      <c r="O128" s="6">
        <f t="shared" si="106"/>
        <v>5.0499999999999996E-2</v>
      </c>
      <c r="P128" s="4">
        <f t="shared" si="99"/>
        <v>601.63452048570207</v>
      </c>
      <c r="Q128" s="7">
        <f t="shared" si="107"/>
        <v>1147.1423660440423</v>
      </c>
      <c r="R128" s="4">
        <f t="shared" si="113"/>
        <v>545.50784555834025</v>
      </c>
      <c r="S128" s="4">
        <f t="shared" si="100"/>
        <v>142417.15048767781</v>
      </c>
      <c r="T128" s="4">
        <f t="shared" si="114"/>
        <v>0</v>
      </c>
      <c r="U128" s="4">
        <f t="shared" si="108"/>
        <v>142417.15048767781</v>
      </c>
      <c r="AE128" s="91" t="str">
        <f t="shared" ca="1" si="126"/>
        <v/>
      </c>
      <c r="AF128" s="70">
        <f t="shared" si="123"/>
        <v>44924</v>
      </c>
      <c r="AG128" s="10">
        <f t="shared" si="98"/>
        <v>44924</v>
      </c>
      <c r="AH128" s="29">
        <f ca="1">IF(AG128=TODAY()-1,Loan!F98,IF(AG128&gt;$AB$13,$AB$55,AH127-AI128*AF127+AI128*AF128))</f>
        <v>1.6830388692579579E-2</v>
      </c>
      <c r="AI128" s="87">
        <f t="shared" ca="1" si="158"/>
        <v>5.8303886925795523E-5</v>
      </c>
      <c r="AJ128" s="76" t="str">
        <f t="shared" ca="1" si="116"/>
        <v/>
      </c>
      <c r="AK128" s="76" t="str">
        <f t="shared" ca="1" si="124"/>
        <v/>
      </c>
      <c r="AL128" s="76" t="str">
        <f t="shared" ca="1" si="159"/>
        <v/>
      </c>
      <c r="AM128" s="11">
        <f t="shared" ca="1" si="117"/>
        <v>168.30388692579578</v>
      </c>
      <c r="AN128" s="11">
        <f t="shared" ca="1" si="118"/>
        <v>595.65224286612556</v>
      </c>
      <c r="AO128" s="11">
        <f t="shared" ca="1" si="150"/>
        <v>84.066155393414419</v>
      </c>
      <c r="AP128" s="12">
        <f t="shared" ca="1" si="151"/>
        <v>0.16432455348563138</v>
      </c>
      <c r="AQ128" s="11">
        <f t="shared" ca="1" si="119"/>
        <v>517.02245699066737</v>
      </c>
      <c r="AR128" s="11">
        <f t="shared" ca="1" si="152"/>
        <v>87.301730921643355</v>
      </c>
      <c r="AS128" s="12">
        <f t="shared" ca="1" si="153"/>
        <v>0.20315922790193855</v>
      </c>
      <c r="AT128" s="11">
        <f t="shared" ca="1" si="120"/>
        <v>466.13036006095024</v>
      </c>
      <c r="AU128" s="11">
        <f t="shared" ca="1" si="154"/>
        <v>90.48123634883018</v>
      </c>
      <c r="AV128" s="12">
        <f t="shared" ca="1" si="155"/>
        <v>0.24086635809157583</v>
      </c>
      <c r="AW128" s="10">
        <f t="shared" si="121"/>
        <v>44924</v>
      </c>
      <c r="AX128" s="76">
        <f t="shared" ca="1" si="141"/>
        <v>99128.057082808562</v>
      </c>
      <c r="AY128" s="75">
        <f t="shared" ca="1" si="125"/>
        <v>16.835448472314294</v>
      </c>
      <c r="AZ128" s="75">
        <f t="shared" ca="1" si="122"/>
        <v>10.328434359450483</v>
      </c>
      <c r="BA128" s="75">
        <f t="shared" ca="1" si="142"/>
        <v>6.5070141128638106</v>
      </c>
      <c r="BB128" s="75">
        <f t="shared" ca="1" si="143"/>
        <v>99121.550068695695</v>
      </c>
      <c r="BC128" s="12"/>
      <c r="BD128" s="12"/>
    </row>
    <row r="129" spans="3:56">
      <c r="C129" s="3">
        <f t="shared" si="101"/>
        <v>11</v>
      </c>
      <c r="D129" s="3">
        <f t="shared" si="110"/>
        <v>1</v>
      </c>
      <c r="E129" s="1">
        <f t="shared" si="111"/>
        <v>2030</v>
      </c>
      <c r="F129" s="3">
        <f t="shared" si="102"/>
        <v>67</v>
      </c>
      <c r="G129" s="3">
        <f t="shared" si="112"/>
        <v>125</v>
      </c>
      <c r="H129" s="4">
        <f t="shared" si="139"/>
        <v>142417.15048767781</v>
      </c>
      <c r="L129" s="25" t="str">
        <f t="shared" ca="1" si="104"/>
        <v/>
      </c>
      <c r="M129" s="4">
        <f t="shared" si="105"/>
        <v>142417.15048767781</v>
      </c>
      <c r="N129" s="5">
        <f t="shared" si="145"/>
        <v>2.18E-2</v>
      </c>
      <c r="O129" s="6">
        <f t="shared" si="106"/>
        <v>5.0499999999999996E-2</v>
      </c>
      <c r="P129" s="4">
        <f t="shared" si="99"/>
        <v>599.33884163564403</v>
      </c>
      <c r="Q129" s="7">
        <f t="shared" si="107"/>
        <v>1147.1423660440423</v>
      </c>
      <c r="R129" s="4">
        <f t="shared" si="113"/>
        <v>547.80352440839829</v>
      </c>
      <c r="S129" s="4">
        <f t="shared" si="100"/>
        <v>141869.3469632694</v>
      </c>
      <c r="T129" s="4">
        <f t="shared" si="114"/>
        <v>0</v>
      </c>
      <c r="U129" s="4">
        <f t="shared" si="108"/>
        <v>141869.3469632694</v>
      </c>
      <c r="AE129" s="91" t="str">
        <f t="shared" ca="1" si="126"/>
        <v/>
      </c>
      <c r="AF129" s="70">
        <f t="shared" si="123"/>
        <v>44925</v>
      </c>
      <c r="AG129" s="10">
        <f t="shared" si="98"/>
        <v>44925</v>
      </c>
      <c r="AH129" s="29">
        <f ca="1">IF(AG129=TODAY()-1,Loan!F99,IF(AG129&gt;$AB$13,$AB$55,AH128-AI129*AF128+AI129*AF129))</f>
        <v>1.6888692579505094E-2</v>
      </c>
      <c r="AI129" s="87">
        <f t="shared" ca="1" si="158"/>
        <v>5.8303886925794635E-5</v>
      </c>
      <c r="AJ129" s="76" t="str">
        <f t="shared" ca="1" si="116"/>
        <v/>
      </c>
      <c r="AK129" s="76" t="str">
        <f t="shared" ca="1" si="124"/>
        <v/>
      </c>
      <c r="AL129" s="76" t="str">
        <f t="shared" ca="1" si="159"/>
        <v/>
      </c>
      <c r="AM129" s="11">
        <f t="shared" ca="1" si="117"/>
        <v>168.88692579505093</v>
      </c>
      <c r="AN129" s="11">
        <f t="shared" ca="1" si="118"/>
        <v>595.95652059947327</v>
      </c>
      <c r="AO129" s="11">
        <f t="shared" ca="1" si="150"/>
        <v>84.370433126762123</v>
      </c>
      <c r="AP129" s="12">
        <f t="shared" ca="1" si="151"/>
        <v>0.16491932676191587</v>
      </c>
      <c r="AQ129" s="11">
        <f t="shared" ca="1" si="119"/>
        <v>517.34082619448907</v>
      </c>
      <c r="AR129" s="11">
        <f t="shared" ca="1" si="152"/>
        <v>87.620100125465058</v>
      </c>
      <c r="AS129" s="12">
        <f t="shared" ca="1" si="153"/>
        <v>0.20390010257822905</v>
      </c>
      <c r="AT129" s="11">
        <f t="shared" ca="1" si="120"/>
        <v>466.46239037536913</v>
      </c>
      <c r="AU129" s="11">
        <f t="shared" ca="1" si="154"/>
        <v>90.813266663249067</v>
      </c>
      <c r="AV129" s="12">
        <f t="shared" ca="1" si="155"/>
        <v>0.24175024226289454</v>
      </c>
      <c r="AW129" s="10">
        <f t="shared" si="121"/>
        <v>44925</v>
      </c>
      <c r="AX129" s="76">
        <f t="shared" ca="1" si="141"/>
        <v>99121.550068695695</v>
      </c>
      <c r="AY129" s="75">
        <f t="shared" ca="1" si="125"/>
        <v>16.844697938945028</v>
      </c>
      <c r="AZ129" s="75">
        <f t="shared" ca="1" si="122"/>
        <v>10.343589722111158</v>
      </c>
      <c r="BA129" s="75">
        <f t="shared" ca="1" si="142"/>
        <v>6.5011082168338703</v>
      </c>
      <c r="BB129" s="75">
        <f t="shared" ca="1" si="143"/>
        <v>99115.04896047886</v>
      </c>
      <c r="BC129" s="12"/>
      <c r="BD129" s="12"/>
    </row>
    <row r="130" spans="3:56">
      <c r="C130" s="3">
        <f t="shared" si="101"/>
        <v>11</v>
      </c>
      <c r="D130" s="3">
        <f t="shared" si="110"/>
        <v>2</v>
      </c>
      <c r="E130" s="1">
        <f t="shared" si="111"/>
        <v>2030</v>
      </c>
      <c r="F130" s="3">
        <f t="shared" si="102"/>
        <v>68</v>
      </c>
      <c r="G130" s="3">
        <f t="shared" si="112"/>
        <v>126</v>
      </c>
      <c r="H130" s="4">
        <f t="shared" si="139"/>
        <v>141869.3469632694</v>
      </c>
      <c r="L130" s="25" t="str">
        <f t="shared" ca="1" si="104"/>
        <v/>
      </c>
      <c r="M130" s="4">
        <f t="shared" si="105"/>
        <v>141869.3469632694</v>
      </c>
      <c r="N130" s="5">
        <f t="shared" si="145"/>
        <v>2.18E-2</v>
      </c>
      <c r="O130" s="6">
        <f t="shared" si="106"/>
        <v>5.0499999999999996E-2</v>
      </c>
      <c r="P130" s="4">
        <f t="shared" si="99"/>
        <v>597.03350180375867</v>
      </c>
      <c r="Q130" s="7">
        <f t="shared" si="107"/>
        <v>1147.1423660440425</v>
      </c>
      <c r="R130" s="4">
        <f t="shared" si="113"/>
        <v>550.10886424028388</v>
      </c>
      <c r="S130" s="4">
        <f t="shared" si="100"/>
        <v>141319.23809902911</v>
      </c>
      <c r="T130" s="4">
        <f t="shared" si="114"/>
        <v>0</v>
      </c>
      <c r="U130" s="4">
        <f t="shared" si="108"/>
        <v>141319.23809902911</v>
      </c>
      <c r="AE130" s="91" t="str">
        <f t="shared" ca="1" si="126"/>
        <v/>
      </c>
      <c r="AF130" s="70">
        <f t="shared" si="123"/>
        <v>44928</v>
      </c>
      <c r="AG130" s="10">
        <f t="shared" ref="AG130" si="162">AG129+3</f>
        <v>44928</v>
      </c>
      <c r="AH130" s="29">
        <f ca="1">IF(AG130=TODAY()-1,Loan!F100,IF(AG130&gt;$AB$13,$AB$55,AH129-AI130*AF129+AI130*AF130))</f>
        <v>1.7063604240282526E-2</v>
      </c>
      <c r="AI130" s="87">
        <f t="shared" ca="1" si="158"/>
        <v>5.8303886925796174E-5</v>
      </c>
      <c r="AJ130" s="76" t="str">
        <f t="shared" ca="1" si="116"/>
        <v/>
      </c>
      <c r="AK130" s="76" t="str">
        <f t="shared" ca="1" si="124"/>
        <v/>
      </c>
      <c r="AL130" s="76" t="str">
        <f t="shared" ca="1" si="159"/>
        <v/>
      </c>
      <c r="AM130" s="11">
        <f t="shared" ca="1" si="117"/>
        <v>170.63604240282527</v>
      </c>
      <c r="AN130" s="11">
        <f t="shared" ca="1" si="118"/>
        <v>596.86988607188403</v>
      </c>
      <c r="AO130" s="11">
        <f t="shared" ca="1" si="150"/>
        <v>85.283798599172883</v>
      </c>
      <c r="AP130" s="12">
        <f t="shared" ca="1" si="151"/>
        <v>0.16670468702634933</v>
      </c>
      <c r="AQ130" s="11">
        <f t="shared" ca="1" si="119"/>
        <v>518.2965780984872</v>
      </c>
      <c r="AR130" s="11">
        <f t="shared" ca="1" si="152"/>
        <v>88.575852029463192</v>
      </c>
      <c r="AS130" s="12">
        <f t="shared" ca="1" si="153"/>
        <v>0.20612422593560376</v>
      </c>
      <c r="AT130" s="11">
        <f t="shared" ca="1" si="120"/>
        <v>467.45922487405068</v>
      </c>
      <c r="AU130" s="11">
        <f t="shared" ca="1" si="154"/>
        <v>91.810101161930618</v>
      </c>
      <c r="AV130" s="12">
        <f t="shared" ca="1" si="155"/>
        <v>0.24440387416500295</v>
      </c>
      <c r="AW130" s="10">
        <f t="shared" si="121"/>
        <v>44928</v>
      </c>
      <c r="AX130" s="76">
        <f t="shared" ca="1" si="141"/>
        <v>99115.04896047886</v>
      </c>
      <c r="AY130" s="75">
        <f t="shared" ca="1" si="125"/>
        <v>16.876884293812612</v>
      </c>
      <c r="AZ130" s="75">
        <f t="shared" ca="1" si="122"/>
        <v>10.39040824021915</v>
      </c>
      <c r="BA130" s="75">
        <f t="shared" ca="1" si="142"/>
        <v>6.4864760535934618</v>
      </c>
      <c r="BB130" s="75">
        <f t="shared" ca="1" si="143"/>
        <v>99108.56248442526</v>
      </c>
      <c r="BC130" s="12"/>
      <c r="BD130" s="12"/>
    </row>
    <row r="131" spans="3:56">
      <c r="C131" s="3">
        <f t="shared" si="101"/>
        <v>11</v>
      </c>
      <c r="D131" s="3">
        <f t="shared" si="110"/>
        <v>3</v>
      </c>
      <c r="E131" s="1">
        <f t="shared" si="111"/>
        <v>2030</v>
      </c>
      <c r="F131" s="3">
        <f t="shared" si="102"/>
        <v>68</v>
      </c>
      <c r="G131" s="3">
        <f t="shared" si="112"/>
        <v>127</v>
      </c>
      <c r="H131" s="4">
        <f t="shared" si="139"/>
        <v>141319.23809902911</v>
      </c>
      <c r="L131" s="25" t="str">
        <f t="shared" ca="1" si="104"/>
        <v/>
      </c>
      <c r="M131" s="4">
        <f t="shared" si="105"/>
        <v>141319.23809902911</v>
      </c>
      <c r="N131" s="5">
        <f t="shared" si="145"/>
        <v>2.18E-2</v>
      </c>
      <c r="O131" s="6">
        <f t="shared" si="106"/>
        <v>5.0499999999999996E-2</v>
      </c>
      <c r="P131" s="4">
        <f t="shared" si="99"/>
        <v>594.7184603334141</v>
      </c>
      <c r="Q131" s="7">
        <f t="shared" si="107"/>
        <v>1147.1423660440423</v>
      </c>
      <c r="R131" s="4">
        <f t="shared" si="113"/>
        <v>552.42390571062822</v>
      </c>
      <c r="S131" s="4">
        <f t="shared" si="100"/>
        <v>140766.81419331848</v>
      </c>
      <c r="T131" s="4">
        <f t="shared" si="114"/>
        <v>0</v>
      </c>
      <c r="U131" s="4">
        <f t="shared" si="108"/>
        <v>140766.81419331848</v>
      </c>
      <c r="AE131" s="91" t="str">
        <f t="shared" ca="1" si="126"/>
        <v/>
      </c>
      <c r="AF131" s="70">
        <f t="shared" si="123"/>
        <v>44929</v>
      </c>
      <c r="AG131" s="10">
        <f t="shared" ref="AG131:AG194" si="163">AG130+1</f>
        <v>44929</v>
      </c>
      <c r="AH131" s="29">
        <f ca="1">IF(AG131=TODAY()-1,Loan!F101,IF(AG131&gt;$AB$13,$AB$55,AH130-AI131*AF130+AI131*AF131))</f>
        <v>1.7121908127208041E-2</v>
      </c>
      <c r="AI131" s="87">
        <f t="shared" ca="1" si="158"/>
        <v>5.8303886925795923E-5</v>
      </c>
      <c r="AJ131" s="76" t="str">
        <f t="shared" ca="1" si="116"/>
        <v/>
      </c>
      <c r="AK131" s="76" t="str">
        <f t="shared" ca="1" si="124"/>
        <v/>
      </c>
      <c r="AL131" s="76" t="str">
        <f t="shared" ca="1" si="159"/>
        <v/>
      </c>
      <c r="AM131" s="11">
        <f t="shared" ca="1" si="117"/>
        <v>171.21908127208042</v>
      </c>
      <c r="AN131" s="11">
        <f t="shared" ca="1" si="118"/>
        <v>597.1745185994688</v>
      </c>
      <c r="AO131" s="11">
        <f t="shared" ca="1" si="150"/>
        <v>85.588431126757655</v>
      </c>
      <c r="AP131" s="12">
        <f t="shared" ca="1" si="151"/>
        <v>0.16730015382078403</v>
      </c>
      <c r="AQ131" s="11">
        <f t="shared" ca="1" si="119"/>
        <v>518.61537673062003</v>
      </c>
      <c r="AR131" s="11">
        <f t="shared" ca="1" si="152"/>
        <v>88.894650661596017</v>
      </c>
      <c r="AS131" s="12">
        <f t="shared" ca="1" si="153"/>
        <v>0.20686609993141752</v>
      </c>
      <c r="AT131" s="11">
        <f t="shared" ca="1" si="120"/>
        <v>467.79175072837353</v>
      </c>
      <c r="AU131" s="11">
        <f t="shared" ca="1" si="154"/>
        <v>92.142627016253471</v>
      </c>
      <c r="AV131" s="12">
        <f t="shared" ca="1" si="155"/>
        <v>0.24528907749261056</v>
      </c>
      <c r="AW131" s="10">
        <f t="shared" si="121"/>
        <v>44929</v>
      </c>
      <c r="AX131" s="76">
        <f t="shared" ca="1" si="141"/>
        <v>99108.56248442526</v>
      </c>
      <c r="AY131" s="75">
        <f t="shared" ca="1" si="125"/>
        <v>16.883938889818896</v>
      </c>
      <c r="AZ131" s="75">
        <f t="shared" ca="1" si="122"/>
        <v>10.40555952369261</v>
      </c>
      <c r="BA131" s="75">
        <f t="shared" ca="1" si="142"/>
        <v>6.478379366126287</v>
      </c>
      <c r="BB131" s="75">
        <f t="shared" ca="1" si="143"/>
        <v>99102.084105059141</v>
      </c>
      <c r="BC131" s="12"/>
      <c r="BD131" s="12"/>
    </row>
    <row r="132" spans="3:56">
      <c r="C132" s="3">
        <f t="shared" si="101"/>
        <v>11</v>
      </c>
      <c r="D132" s="3">
        <f t="shared" si="110"/>
        <v>4</v>
      </c>
      <c r="E132" s="1">
        <f t="shared" si="111"/>
        <v>2030</v>
      </c>
      <c r="F132" s="3">
        <f t="shared" si="102"/>
        <v>68</v>
      </c>
      <c r="G132" s="3">
        <f t="shared" si="112"/>
        <v>128</v>
      </c>
      <c r="H132" s="4">
        <f t="shared" si="139"/>
        <v>140766.81419331848</v>
      </c>
      <c r="L132" s="25" t="str">
        <f t="shared" ca="1" si="104"/>
        <v/>
      </c>
      <c r="M132" s="4">
        <f t="shared" si="105"/>
        <v>140766.81419331848</v>
      </c>
      <c r="N132" s="5">
        <f t="shared" si="145"/>
        <v>2.18E-2</v>
      </c>
      <c r="O132" s="6">
        <f t="shared" si="106"/>
        <v>5.0499999999999996E-2</v>
      </c>
      <c r="P132" s="4">
        <f t="shared" si="99"/>
        <v>592.39367639688192</v>
      </c>
      <c r="Q132" s="7">
        <f t="shared" si="107"/>
        <v>1147.1423660440425</v>
      </c>
      <c r="R132" s="4">
        <f t="shared" si="113"/>
        <v>554.74868964716063</v>
      </c>
      <c r="S132" s="4">
        <f t="shared" si="100"/>
        <v>140212.06550367133</v>
      </c>
      <c r="T132" s="4">
        <f t="shared" si="114"/>
        <v>0</v>
      </c>
      <c r="U132" s="4">
        <f t="shared" si="108"/>
        <v>140212.06550367133</v>
      </c>
      <c r="AE132" s="91" t="str">
        <f t="shared" ca="1" si="126"/>
        <v/>
      </c>
      <c r="AF132" s="70">
        <f t="shared" si="123"/>
        <v>44930</v>
      </c>
      <c r="AG132" s="10">
        <f t="shared" si="163"/>
        <v>44930</v>
      </c>
      <c r="AH132" s="29">
        <f ca="1">IF(AG132=TODAY()-1,Loan!F102,IF(AG132&gt;$AB$13,$AB$55,AH131-AI132*AF131+AI132*AF132))</f>
        <v>1.7180212014134E-2</v>
      </c>
      <c r="AI132" s="87">
        <f t="shared" ca="1" si="158"/>
        <v>5.8303886925797502E-5</v>
      </c>
      <c r="AJ132" s="76" t="str">
        <f t="shared" ca="1" si="116"/>
        <v/>
      </c>
      <c r="AK132" s="76" t="str">
        <f t="shared" ca="1" si="124"/>
        <v/>
      </c>
      <c r="AL132" s="76" t="str">
        <f t="shared" ca="1" si="159"/>
        <v/>
      </c>
      <c r="AM132" s="11">
        <f t="shared" ca="1" si="117"/>
        <v>171.80212014134</v>
      </c>
      <c r="AN132" s="11">
        <f t="shared" ca="1" si="118"/>
        <v>597.47923978507947</v>
      </c>
      <c r="AO132" s="11">
        <f t="shared" ca="1" si="150"/>
        <v>85.893152312368329</v>
      </c>
      <c r="AP132" s="12">
        <f t="shared" ca="1" si="151"/>
        <v>0.16789579391552553</v>
      </c>
      <c r="AQ132" s="11">
        <f t="shared" ca="1" si="119"/>
        <v>518.9342826447305</v>
      </c>
      <c r="AR132" s="11">
        <f t="shared" ca="1" si="152"/>
        <v>89.213556575706491</v>
      </c>
      <c r="AS132" s="12">
        <f t="shared" ca="1" si="153"/>
        <v>0.20760822358234715</v>
      </c>
      <c r="AT132" s="11">
        <f t="shared" ca="1" si="120"/>
        <v>468.12440034477873</v>
      </c>
      <c r="AU132" s="11">
        <f t="shared" ca="1" si="154"/>
        <v>92.475276632658677</v>
      </c>
      <c r="AV132" s="12">
        <f t="shared" ca="1" si="155"/>
        <v>0.24617461028214033</v>
      </c>
      <c r="AW132" s="10">
        <f t="shared" si="121"/>
        <v>44930</v>
      </c>
      <c r="AX132" s="76">
        <f t="shared" ca="1" si="141"/>
        <v>99102.084105059141</v>
      </c>
      <c r="AY132" s="75">
        <f t="shared" ca="1" si="125"/>
        <v>16.893205361527315</v>
      </c>
      <c r="AZ132" s="75">
        <f t="shared" ca="1" si="122"/>
        <v>10.420709586286875</v>
      </c>
      <c r="BA132" s="75">
        <f t="shared" ca="1" si="142"/>
        <v>6.4724957752404393</v>
      </c>
      <c r="BB132" s="75">
        <f t="shared" ca="1" si="143"/>
        <v>99095.611609283907</v>
      </c>
      <c r="BC132" s="12"/>
      <c r="BD132" s="12"/>
    </row>
    <row r="133" spans="3:56">
      <c r="C133" s="3">
        <f t="shared" si="101"/>
        <v>11</v>
      </c>
      <c r="D133" s="3">
        <f t="shared" si="110"/>
        <v>5</v>
      </c>
      <c r="E133" s="1">
        <f t="shared" si="111"/>
        <v>2030</v>
      </c>
      <c r="F133" s="3">
        <f t="shared" si="102"/>
        <v>68</v>
      </c>
      <c r="G133" s="3">
        <f t="shared" si="112"/>
        <v>129</v>
      </c>
      <c r="H133" s="4">
        <f t="shared" si="139"/>
        <v>140212.06550367133</v>
      </c>
      <c r="L133" s="25" t="str">
        <f t="shared" ca="1" si="104"/>
        <v/>
      </c>
      <c r="M133" s="4">
        <f t="shared" si="105"/>
        <v>140212.06550367133</v>
      </c>
      <c r="N133" s="5">
        <f t="shared" si="145"/>
        <v>2.18E-2</v>
      </c>
      <c r="O133" s="6">
        <f t="shared" si="106"/>
        <v>5.0499999999999996E-2</v>
      </c>
      <c r="P133" s="4">
        <f t="shared" ref="P133:P196" si="164">M133*O133/12</f>
        <v>590.05910899461685</v>
      </c>
      <c r="Q133" s="7">
        <f t="shared" si="107"/>
        <v>1147.1423660440425</v>
      </c>
      <c r="R133" s="4">
        <f t="shared" si="113"/>
        <v>557.0832570494257</v>
      </c>
      <c r="S133" s="4">
        <f t="shared" ref="S133:S196" si="165">M133-R133</f>
        <v>139654.98224662189</v>
      </c>
      <c r="T133" s="4">
        <f t="shared" si="114"/>
        <v>0</v>
      </c>
      <c r="U133" s="4">
        <f t="shared" si="108"/>
        <v>139654.98224662189</v>
      </c>
      <c r="AE133" s="91" t="str">
        <f t="shared" ca="1" si="126"/>
        <v/>
      </c>
      <c r="AF133" s="70">
        <f t="shared" si="123"/>
        <v>44931</v>
      </c>
      <c r="AG133" s="10">
        <f t="shared" si="163"/>
        <v>44931</v>
      </c>
      <c r="AH133" s="29">
        <f ca="1">IF(AG133=TODAY()-1,Loan!F103,IF(AG133&gt;$AB$13,$AB$55,AH132-AI133*AF132+AI133*AF133))</f>
        <v>1.7238515901059515E-2</v>
      </c>
      <c r="AI133" s="87">
        <f t="shared" ca="1" si="158"/>
        <v>5.8303886925796594E-5</v>
      </c>
      <c r="AJ133" s="76" t="str">
        <f t="shared" ca="1" si="116"/>
        <v/>
      </c>
      <c r="AK133" s="76" t="str">
        <f t="shared" ca="1" si="124"/>
        <v/>
      </c>
      <c r="AL133" s="76" t="str">
        <f t="shared" ca="1" si="159"/>
        <v/>
      </c>
      <c r="AM133" s="11">
        <f t="shared" ca="1" si="117"/>
        <v>172.38515901059515</v>
      </c>
      <c r="AN133" s="11">
        <f t="shared" ca="1" si="118"/>
        <v>597.78404961247827</v>
      </c>
      <c r="AO133" s="11">
        <f t="shared" ca="1" si="150"/>
        <v>86.197962139767128</v>
      </c>
      <c r="AP133" s="12">
        <f t="shared" ca="1" si="151"/>
        <v>0.16849160727883372</v>
      </c>
      <c r="AQ133" s="11">
        <f t="shared" ca="1" si="119"/>
        <v>519.25329581072072</v>
      </c>
      <c r="AR133" s="11">
        <f t="shared" ca="1" si="152"/>
        <v>89.532569741696705</v>
      </c>
      <c r="AS133" s="12">
        <f t="shared" ca="1" si="153"/>
        <v>0.208350596818352</v>
      </c>
      <c r="AT133" s="11">
        <f t="shared" ca="1" si="120"/>
        <v>468.45717367401636</v>
      </c>
      <c r="AU133" s="11">
        <f t="shared" ca="1" si="154"/>
        <v>92.808049961896302</v>
      </c>
      <c r="AV133" s="12">
        <f t="shared" ca="1" si="155"/>
        <v>0.24706047240248605</v>
      </c>
      <c r="AW133" s="10">
        <f t="shared" si="121"/>
        <v>44931</v>
      </c>
      <c r="AX133" s="76">
        <f t="shared" ca="1" si="141"/>
        <v>99095.611609283907</v>
      </c>
      <c r="AY133" s="75">
        <f t="shared" ca="1" si="125"/>
        <v>16.90247499013369</v>
      </c>
      <c r="AZ133" s="75">
        <f t="shared" ca="1" si="122"/>
        <v>10.435858198818295</v>
      </c>
      <c r="BA133" s="75">
        <f t="shared" ca="1" si="142"/>
        <v>6.4666167913153956</v>
      </c>
      <c r="BB133" s="75">
        <f t="shared" ca="1" si="143"/>
        <v>99089.144992492598</v>
      </c>
      <c r="BC133" s="12"/>
      <c r="BD133" s="12"/>
    </row>
    <row r="134" spans="3:56">
      <c r="C134" s="3">
        <f t="shared" ref="C134:C197" si="166">IF(G134/12=INT(G134/12),INT(G134/12),INT(G134/12)+1)</f>
        <v>11</v>
      </c>
      <c r="D134" s="3">
        <f t="shared" si="110"/>
        <v>6</v>
      </c>
      <c r="E134" s="1">
        <f t="shared" si="111"/>
        <v>2030</v>
      </c>
      <c r="F134" s="3">
        <f t="shared" ref="F134:F197" si="167">ROUND(((E134-1962)*12+D134-8)/12,0)</f>
        <v>68</v>
      </c>
      <c r="G134" s="3">
        <f t="shared" si="112"/>
        <v>130</v>
      </c>
      <c r="H134" s="4">
        <f t="shared" ref="H134:H165" si="168">IF(C134&gt;$B$6,0,S133)</f>
        <v>139654.98224662189</v>
      </c>
      <c r="L134" s="25" t="str">
        <f t="shared" ref="L134:L197" ca="1" si="169">IF(AND(YEAR(TODAY())=E134,MONTH(TODAY())=D134),"current","")</f>
        <v/>
      </c>
      <c r="M134" s="4">
        <f t="shared" ref="M134:M197" si="170">H134-I134-J134-K134</f>
        <v>139654.98224662189</v>
      </c>
      <c r="N134" s="5">
        <f t="shared" si="145"/>
        <v>2.18E-2</v>
      </c>
      <c r="O134" s="6">
        <f t="shared" ref="O134:O197" si="171">N134+$B$22+$B$23</f>
        <v>5.0499999999999996E-2</v>
      </c>
      <c r="P134" s="4">
        <f t="shared" si="164"/>
        <v>587.71471695453374</v>
      </c>
      <c r="Q134" s="7">
        <f t="shared" ref="Q134:Q197" si="172">IF(C134&gt;$B$6,0,(M134/((1-(1+O134/12)^-($B$6*12-G134+1))/(O134/12))))</f>
        <v>1147.1423660440425</v>
      </c>
      <c r="R134" s="4">
        <f t="shared" si="113"/>
        <v>559.4276490895088</v>
      </c>
      <c r="S134" s="4">
        <f t="shared" si="165"/>
        <v>139095.55459753238</v>
      </c>
      <c r="T134" s="4">
        <f t="shared" si="114"/>
        <v>0</v>
      </c>
      <c r="U134" s="4">
        <f t="shared" ref="U134:U197" si="173">T134+S134</f>
        <v>139095.55459753238</v>
      </c>
      <c r="AE134" s="91" t="str">
        <f t="shared" ca="1" si="126"/>
        <v/>
      </c>
      <c r="AF134" s="70">
        <f t="shared" si="123"/>
        <v>44932</v>
      </c>
      <c r="AG134" s="10">
        <f t="shared" si="163"/>
        <v>44932</v>
      </c>
      <c r="AH134" s="29">
        <f ca="1">IF(AG134=TODAY()-1,Loan!F104,IF(AG134&gt;$AB$13,$AB$55,AH133-AI134*AF133+AI134*AF134))</f>
        <v>1.7296819787985473E-2</v>
      </c>
      <c r="AI134" s="87">
        <f t="shared" ca="1" si="158"/>
        <v>5.8303886925798193E-5</v>
      </c>
      <c r="AJ134" s="76" t="str">
        <f t="shared" ca="1" si="116"/>
        <v/>
      </c>
      <c r="AK134" s="76" t="str">
        <f t="shared" ca="1" si="124"/>
        <v/>
      </c>
      <c r="AL134" s="76" t="str">
        <f t="shared" ca="1" si="159"/>
        <v/>
      </c>
      <c r="AM134" s="11">
        <f t="shared" ca="1" si="117"/>
        <v>172.96819787985473</v>
      </c>
      <c r="AN134" s="11">
        <f t="shared" ca="1" si="118"/>
        <v>598.08894806536057</v>
      </c>
      <c r="AO134" s="11">
        <f t="shared" ca="1" si="150"/>
        <v>86.502860592649427</v>
      </c>
      <c r="AP134" s="12">
        <f t="shared" ca="1" si="151"/>
        <v>0.1690875938788379</v>
      </c>
      <c r="AQ134" s="11">
        <f t="shared" ca="1" si="119"/>
        <v>519.57241619842398</v>
      </c>
      <c r="AR134" s="11">
        <f t="shared" ca="1" si="152"/>
        <v>89.851690129399969</v>
      </c>
      <c r="AS134" s="12">
        <f t="shared" ca="1" si="153"/>
        <v>0.20909321956923138</v>
      </c>
      <c r="AT134" s="11">
        <f t="shared" ca="1" si="120"/>
        <v>468.79007066676087</v>
      </c>
      <c r="AU134" s="11">
        <f t="shared" ca="1" si="154"/>
        <v>93.14094695464081</v>
      </c>
      <c r="AV134" s="12">
        <f t="shared" ca="1" si="155"/>
        <v>0.24794666372234023</v>
      </c>
      <c r="AW134" s="10">
        <f t="shared" si="121"/>
        <v>44932</v>
      </c>
      <c r="AX134" s="76">
        <f t="shared" ca="1" si="141"/>
        <v>99089.144992492598</v>
      </c>
      <c r="AY134" s="75">
        <f t="shared" ca="1" si="125"/>
        <v>16.91174777506663</v>
      </c>
      <c r="AZ134" s="75">
        <f t="shared" ca="1" si="122"/>
        <v>10.451005363620688</v>
      </c>
      <c r="BA134" s="75">
        <f t="shared" ca="1" si="142"/>
        <v>6.460742411445942</v>
      </c>
      <c r="BB134" s="75">
        <f t="shared" ca="1" si="143"/>
        <v>99082.684250081147</v>
      </c>
      <c r="BC134" s="12"/>
      <c r="BD134" s="12"/>
    </row>
    <row r="135" spans="3:56">
      <c r="C135" s="3">
        <f t="shared" si="166"/>
        <v>11</v>
      </c>
      <c r="D135" s="3">
        <f t="shared" ref="D135:D198" si="174">IF(D134+1&gt;12,1,D134+1)</f>
        <v>7</v>
      </c>
      <c r="E135" s="1">
        <f t="shared" ref="E135:E198" si="175">IF(D135=1,E134+1,E134)</f>
        <v>2030</v>
      </c>
      <c r="F135" s="3">
        <f t="shared" si="167"/>
        <v>68</v>
      </c>
      <c r="G135" s="3">
        <f t="shared" ref="G135:G198" si="176">G134+1</f>
        <v>131</v>
      </c>
      <c r="H135" s="4">
        <f t="shared" si="168"/>
        <v>139095.55459753238</v>
      </c>
      <c r="L135" s="25" t="str">
        <f t="shared" ca="1" si="169"/>
        <v/>
      </c>
      <c r="M135" s="4">
        <f t="shared" si="170"/>
        <v>139095.55459753238</v>
      </c>
      <c r="N135" s="5">
        <f t="shared" si="145"/>
        <v>2.18E-2</v>
      </c>
      <c r="O135" s="6">
        <f t="shared" si="171"/>
        <v>5.0499999999999996E-2</v>
      </c>
      <c r="P135" s="4">
        <f t="shared" si="164"/>
        <v>585.3604589312821</v>
      </c>
      <c r="Q135" s="7">
        <f t="shared" si="172"/>
        <v>1147.1423660440423</v>
      </c>
      <c r="R135" s="4">
        <f t="shared" ref="R135:R198" si="177">Q135-P135</f>
        <v>561.78190711276022</v>
      </c>
      <c r="S135" s="4">
        <f t="shared" si="165"/>
        <v>138533.7726904196</v>
      </c>
      <c r="T135" s="4">
        <f t="shared" ref="T135:T198" si="178">T134</f>
        <v>0</v>
      </c>
      <c r="U135" s="4">
        <f t="shared" si="173"/>
        <v>138533.7726904196</v>
      </c>
      <c r="AE135" s="91" t="str">
        <f t="shared" ca="1" si="126"/>
        <v/>
      </c>
      <c r="AF135" s="70">
        <f t="shared" si="123"/>
        <v>44935</v>
      </c>
      <c r="AG135" s="10">
        <f t="shared" ref="AG135" si="179">AG134+3</f>
        <v>44935</v>
      </c>
      <c r="AH135" s="29">
        <f ca="1">IF(AG135=TODAY()-1,Loan!F105,IF(AG135&gt;$AB$13,$AB$55,AH134-AI135*AF134+AI135*AF135))</f>
        <v>1.7471731448762906E-2</v>
      </c>
      <c r="AI135" s="87">
        <f t="shared" ca="1" si="158"/>
        <v>5.8303886925797278E-5</v>
      </c>
      <c r="AJ135" s="76" t="str">
        <f t="shared" ca="1" si="116"/>
        <v/>
      </c>
      <c r="AK135" s="76" t="str">
        <f t="shared" ca="1" si="124"/>
        <v/>
      </c>
      <c r="AL135" s="76" t="str">
        <f t="shared" ca="1" si="159"/>
        <v/>
      </c>
      <c r="AM135" s="11">
        <f t="shared" ca="1" si="117"/>
        <v>174.71731448762907</v>
      </c>
      <c r="AN135" s="11">
        <f t="shared" ca="1" si="118"/>
        <v>599.00417501401057</v>
      </c>
      <c r="AO135" s="11">
        <f t="shared" ca="1" si="150"/>
        <v>87.418087541299428</v>
      </c>
      <c r="AP135" s="12">
        <f t="shared" ca="1" si="151"/>
        <v>0.1708765927806089</v>
      </c>
      <c r="AQ135" s="11">
        <f t="shared" ca="1" si="119"/>
        <v>520.53042038996546</v>
      </c>
      <c r="AR135" s="11">
        <f t="shared" ca="1" si="152"/>
        <v>90.809694320941446</v>
      </c>
      <c r="AS135" s="12">
        <f t="shared" ca="1" si="153"/>
        <v>0.21132258420869166</v>
      </c>
      <c r="AT135" s="11">
        <f t="shared" ca="1" si="120"/>
        <v>469.78950313228893</v>
      </c>
      <c r="AU135" s="11">
        <f t="shared" ca="1" si="154"/>
        <v>94.14037942016887</v>
      </c>
      <c r="AV135" s="12">
        <f t="shared" ca="1" si="155"/>
        <v>0.25060721156457072</v>
      </c>
      <c r="AW135" s="10">
        <f t="shared" si="121"/>
        <v>44935</v>
      </c>
      <c r="AX135" s="76">
        <f t="shared" ca="1" si="141"/>
        <v>99082.684250081147</v>
      </c>
      <c r="AY135" s="75">
        <f t="shared" ca="1" si="125"/>
        <v>16.943995521241096</v>
      </c>
      <c r="AZ135" s="75">
        <f t="shared" ca="1" si="122"/>
        <v>10.497805360388242</v>
      </c>
      <c r="BA135" s="75">
        <f t="shared" ca="1" si="142"/>
        <v>6.4461901608528542</v>
      </c>
      <c r="BB135" s="75">
        <f t="shared" ca="1" si="143"/>
        <v>99076.238059920288</v>
      </c>
      <c r="BC135" s="12"/>
      <c r="BD135" s="12"/>
    </row>
    <row r="136" spans="3:56">
      <c r="C136" s="3">
        <f t="shared" si="166"/>
        <v>11</v>
      </c>
      <c r="D136" s="3">
        <f t="shared" si="174"/>
        <v>8</v>
      </c>
      <c r="E136" s="1">
        <f t="shared" si="175"/>
        <v>2030</v>
      </c>
      <c r="F136" s="3">
        <f t="shared" si="167"/>
        <v>68</v>
      </c>
      <c r="G136" s="3">
        <f t="shared" si="176"/>
        <v>132</v>
      </c>
      <c r="H136" s="4">
        <f t="shared" si="168"/>
        <v>138533.7726904196</v>
      </c>
      <c r="L136" s="25" t="str">
        <f t="shared" ca="1" si="169"/>
        <v/>
      </c>
      <c r="M136" s="4">
        <f t="shared" si="170"/>
        <v>138533.7726904196</v>
      </c>
      <c r="N136" s="5">
        <f t="shared" si="145"/>
        <v>2.18E-2</v>
      </c>
      <c r="O136" s="6">
        <f t="shared" si="171"/>
        <v>5.0499999999999996E-2</v>
      </c>
      <c r="P136" s="4">
        <f t="shared" si="164"/>
        <v>582.99629340551576</v>
      </c>
      <c r="Q136" s="7">
        <f t="shared" si="172"/>
        <v>1147.142366044043</v>
      </c>
      <c r="R136" s="4">
        <f t="shared" si="177"/>
        <v>564.14607263852724</v>
      </c>
      <c r="S136" s="4">
        <f t="shared" si="165"/>
        <v>137969.62661778106</v>
      </c>
      <c r="T136" s="4">
        <f t="shared" si="178"/>
        <v>0</v>
      </c>
      <c r="U136" s="4">
        <f t="shared" si="173"/>
        <v>137969.62661778106</v>
      </c>
      <c r="AE136" s="91" t="str">
        <f t="shared" ca="1" si="126"/>
        <v/>
      </c>
      <c r="AF136" s="70">
        <f t="shared" si="123"/>
        <v>44936</v>
      </c>
      <c r="AG136" s="10">
        <f t="shared" ref="AG136" si="180">AG135+1</f>
        <v>44936</v>
      </c>
      <c r="AH136" s="29">
        <f ca="1">IF(AG136=TODAY()-1,Loan!F106,IF(AG136&gt;$AB$13,$AB$55,AH135-AI136*AF135+AI136*AF136))</f>
        <v>1.7530035335688865E-2</v>
      </c>
      <c r="AI136" s="87">
        <f t="shared" ca="1" si="158"/>
        <v>5.8303886925797041E-5</v>
      </c>
      <c r="AJ136" s="76" t="str">
        <f t="shared" ref="AJ136:AJ199" ca="1" si="181">IF(TODAY()&gt;=AG136,10000*AH136,"")</f>
        <v/>
      </c>
      <c r="AK136" s="76" t="str">
        <f t="shared" ca="1" si="124"/>
        <v/>
      </c>
      <c r="AL136" s="76" t="str">
        <f t="shared" ca="1" si="159"/>
        <v/>
      </c>
      <c r="AM136" s="11">
        <f t="shared" ref="AM136:AM199" ca="1" si="182">10000*(AH136-AH$7)</f>
        <v>175.30035335688865</v>
      </c>
      <c r="AN136" s="11">
        <f t="shared" ref="AN136:AN199" ca="1" si="183">100000/((1-(1+($AH136+$AH$3+$AH$2)/12)^-(AN$5*12))/(($AH136+$AH$3+$AH$2)/12))</f>
        <v>599.30942780577152</v>
      </c>
      <c r="AO136" s="11">
        <f t="shared" ca="1" si="150"/>
        <v>87.723340333060378</v>
      </c>
      <c r="AP136" s="12">
        <f t="shared" ca="1" si="151"/>
        <v>0.17147327200867182</v>
      </c>
      <c r="AQ136" s="11">
        <f t="shared" ref="AQ136:AQ199" ca="1" si="184">100000/((1-(1+($AH136+$AH$3+$AH$2)/12)^-(AQ$5*12))/(($AH136+$AH$3+$AH$2)/12))</f>
        <v>520.84996936246091</v>
      </c>
      <c r="AR136" s="11">
        <f t="shared" ca="1" si="152"/>
        <v>91.1292432934369</v>
      </c>
      <c r="AS136" s="12">
        <f t="shared" ca="1" si="153"/>
        <v>0.21206620431614751</v>
      </c>
      <c r="AT136" s="11">
        <f t="shared" ref="AT136:AT199" ca="1" si="185">100000/((1-(1+($AH136+$AH$3+$AH$2)/12)^-(AT$5*12))/(($AH136+$AH$3+$AH$2)/12))</f>
        <v>470.12289428503306</v>
      </c>
      <c r="AU136" s="11">
        <f t="shared" ca="1" si="154"/>
        <v>94.473770572912997</v>
      </c>
      <c r="AV136" s="12">
        <f t="shared" ca="1" si="155"/>
        <v>0.25149471836732751</v>
      </c>
      <c r="AW136" s="10">
        <f t="shared" ref="AW136:AW199" si="186">AG136</f>
        <v>44936</v>
      </c>
      <c r="AX136" s="76">
        <f t="shared" ca="1" si="141"/>
        <v>99076.238059920288</v>
      </c>
      <c r="AY136" s="75">
        <f t="shared" ca="1" si="125"/>
        <v>16.951077686420799</v>
      </c>
      <c r="AZ136" s="75">
        <f t="shared" ref="AZ136:AZ199" ca="1" si="187">AX136*(AH136+$AB$10+$AH$2)/365</f>
        <v>10.512948495857081</v>
      </c>
      <c r="BA136" s="75">
        <f t="shared" ca="1" si="142"/>
        <v>6.4381291905637177</v>
      </c>
      <c r="BB136" s="75">
        <f t="shared" ca="1" si="143"/>
        <v>99069.799930729729</v>
      </c>
      <c r="BC136" s="12"/>
      <c r="BD136" s="12"/>
    </row>
    <row r="137" spans="3:56">
      <c r="C137" s="3">
        <f t="shared" si="166"/>
        <v>12</v>
      </c>
      <c r="D137" s="3">
        <f t="shared" si="174"/>
        <v>9</v>
      </c>
      <c r="E137" s="1">
        <f t="shared" si="175"/>
        <v>2030</v>
      </c>
      <c r="F137" s="3">
        <f t="shared" si="167"/>
        <v>68</v>
      </c>
      <c r="G137" s="3">
        <f t="shared" si="176"/>
        <v>133</v>
      </c>
      <c r="H137" s="4">
        <f t="shared" si="168"/>
        <v>137969.62661778106</v>
      </c>
      <c r="L137" s="25" t="str">
        <f t="shared" ca="1" si="169"/>
        <v/>
      </c>
      <c r="M137" s="4">
        <f t="shared" si="170"/>
        <v>137969.62661778106</v>
      </c>
      <c r="N137" s="5">
        <f t="shared" si="145"/>
        <v>2.18E-2</v>
      </c>
      <c r="O137" s="6">
        <f t="shared" si="171"/>
        <v>5.0499999999999996E-2</v>
      </c>
      <c r="P137" s="4">
        <f t="shared" si="164"/>
        <v>580.62217868316191</v>
      </c>
      <c r="Q137" s="7">
        <f t="shared" si="172"/>
        <v>1147.1423660440425</v>
      </c>
      <c r="R137" s="4">
        <f t="shared" si="177"/>
        <v>566.52018736088064</v>
      </c>
      <c r="S137" s="4">
        <f t="shared" si="165"/>
        <v>137403.10643042019</v>
      </c>
      <c r="T137" s="4">
        <f t="shared" si="178"/>
        <v>0</v>
      </c>
      <c r="U137" s="4">
        <f t="shared" si="173"/>
        <v>137403.10643042019</v>
      </c>
      <c r="AE137" s="91" t="str">
        <f t="shared" ca="1" si="126"/>
        <v/>
      </c>
      <c r="AF137" s="70">
        <f t="shared" ref="AF137:AF200" si="188">AG137</f>
        <v>44937</v>
      </c>
      <c r="AG137" s="10">
        <f t="shared" si="163"/>
        <v>44937</v>
      </c>
      <c r="AH137" s="29">
        <f ca="1">IF(AG137=TODAY()-1,Loan!F107,IF(AG137&gt;$AB$13,$AB$55,AH136-AI137*AF136+AI137*AF137))</f>
        <v>1.758833922261438E-2</v>
      </c>
      <c r="AI137" s="87">
        <f t="shared" ca="1" si="158"/>
        <v>5.8303886925796092E-5</v>
      </c>
      <c r="AJ137" s="76" t="str">
        <f t="shared" ca="1" si="181"/>
        <v/>
      </c>
      <c r="AK137" s="76" t="str">
        <f t="shared" ref="AK137:AK200" ca="1" si="189">IF(AJ137&lt;&gt;"",AJ137-AJ136,"")</f>
        <v/>
      </c>
      <c r="AL137" s="76" t="str">
        <f t="shared" ca="1" si="159"/>
        <v/>
      </c>
      <c r="AM137" s="11">
        <f t="shared" ca="1" si="182"/>
        <v>175.8833922261438</v>
      </c>
      <c r="AN137" s="11">
        <f t="shared" ca="1" si="183"/>
        <v>599.61476914136699</v>
      </c>
      <c r="AO137" s="11">
        <f t="shared" ca="1" si="150"/>
        <v>88.02868166865585</v>
      </c>
      <c r="AP137" s="12">
        <f t="shared" ca="1" si="151"/>
        <v>0.17207012431383104</v>
      </c>
      <c r="AQ137" s="11">
        <f t="shared" ca="1" si="184"/>
        <v>521.1696254054516</v>
      </c>
      <c r="AR137" s="11">
        <f t="shared" ca="1" si="152"/>
        <v>91.448899336427587</v>
      </c>
      <c r="AS137" s="12">
        <f t="shared" ca="1" si="153"/>
        <v>0.21281007358658</v>
      </c>
      <c r="AT137" s="11">
        <f t="shared" ca="1" si="185"/>
        <v>470.45640885400837</v>
      </c>
      <c r="AU137" s="11">
        <f t="shared" ca="1" si="154"/>
        <v>94.807285141888315</v>
      </c>
      <c r="AV137" s="12">
        <f t="shared" ca="1" si="155"/>
        <v>0.25238255371133034</v>
      </c>
      <c r="AW137" s="10">
        <f t="shared" si="186"/>
        <v>44937</v>
      </c>
      <c r="AX137" s="76">
        <f t="shared" ca="1" si="141"/>
        <v>99069.799930729729</v>
      </c>
      <c r="AY137" s="75">
        <f t="shared" ref="AY137:AY200" ca="1" si="190">AX137/((1-(1+(AH137+$AB$10+$AH$2)/365)^-($AB$9*365-(AG137-AG136)))/((AH137+$AB$10+$AH$2)/365))</f>
        <v>16.960367453654801</v>
      </c>
      <c r="AZ137" s="75">
        <f t="shared" ca="1" si="187"/>
        <v>10.528090428574476</v>
      </c>
      <c r="BA137" s="75">
        <f t="shared" ca="1" si="142"/>
        <v>6.4322770250803245</v>
      </c>
      <c r="BB137" s="75">
        <f t="shared" ca="1" si="143"/>
        <v>99063.367653704641</v>
      </c>
      <c r="BC137" s="12"/>
      <c r="BD137" s="12"/>
    </row>
    <row r="138" spans="3:56">
      <c r="C138" s="3">
        <f t="shared" si="166"/>
        <v>12</v>
      </c>
      <c r="D138" s="3">
        <f t="shared" si="174"/>
        <v>10</v>
      </c>
      <c r="E138" s="1">
        <f t="shared" si="175"/>
        <v>2030</v>
      </c>
      <c r="F138" s="3">
        <f t="shared" si="167"/>
        <v>68</v>
      </c>
      <c r="G138" s="3">
        <f t="shared" si="176"/>
        <v>134</v>
      </c>
      <c r="H138" s="4">
        <f t="shared" si="168"/>
        <v>137403.10643042019</v>
      </c>
      <c r="L138" s="25" t="str">
        <f t="shared" ca="1" si="169"/>
        <v/>
      </c>
      <c r="M138" s="4">
        <f t="shared" si="170"/>
        <v>137403.10643042019</v>
      </c>
      <c r="N138" s="5">
        <f t="shared" si="145"/>
        <v>2.18E-2</v>
      </c>
      <c r="O138" s="6">
        <f t="shared" si="171"/>
        <v>5.0499999999999996E-2</v>
      </c>
      <c r="P138" s="4">
        <f t="shared" si="164"/>
        <v>578.23807289468493</v>
      </c>
      <c r="Q138" s="7">
        <f t="shared" si="172"/>
        <v>1147.142366044043</v>
      </c>
      <c r="R138" s="4">
        <f t="shared" si="177"/>
        <v>568.90429314935807</v>
      </c>
      <c r="S138" s="4">
        <f t="shared" si="165"/>
        <v>136834.20213727083</v>
      </c>
      <c r="T138" s="4">
        <f t="shared" si="178"/>
        <v>0</v>
      </c>
      <c r="U138" s="4">
        <f t="shared" si="173"/>
        <v>136834.20213727083</v>
      </c>
      <c r="AE138" s="91" t="str">
        <f t="shared" ref="AE138:AE201" ca="1" si="191">IF(AG138=TODAY(),"today",IF(AG138=TODAY()-1,"last available",""))</f>
        <v/>
      </c>
      <c r="AF138" s="70">
        <f t="shared" si="188"/>
        <v>44938</v>
      </c>
      <c r="AG138" s="10">
        <f t="shared" si="163"/>
        <v>44938</v>
      </c>
      <c r="AH138" s="29">
        <f ca="1">IF(AG138=TODAY()-1,Loan!F108,IF(AG138&gt;$AB$13,$AB$55,AH137-AI138*AF137+AI138*AF138))</f>
        <v>1.7646643109539895E-2</v>
      </c>
      <c r="AI138" s="87">
        <f t="shared" ca="1" si="158"/>
        <v>5.8303886925797746E-5</v>
      </c>
      <c r="AJ138" s="76" t="str">
        <f t="shared" ca="1" si="181"/>
        <v/>
      </c>
      <c r="AK138" s="76" t="str">
        <f t="shared" ca="1" si="189"/>
        <v/>
      </c>
      <c r="AL138" s="76" t="str">
        <f t="shared" ca="1" si="159"/>
        <v/>
      </c>
      <c r="AM138" s="11">
        <f t="shared" ca="1" si="182"/>
        <v>176.46643109539895</v>
      </c>
      <c r="AN138" s="11">
        <f t="shared" ca="1" si="183"/>
        <v>599.92019900438822</v>
      </c>
      <c r="AO138" s="11">
        <f t="shared" ca="1" si="150"/>
        <v>88.334111531677081</v>
      </c>
      <c r="AP138" s="12">
        <f t="shared" ca="1" si="151"/>
        <v>0.17266714966401225</v>
      </c>
      <c r="AQ138" s="11">
        <f t="shared" ca="1" si="184"/>
        <v>521.48938848857767</v>
      </c>
      <c r="AR138" s="11">
        <f t="shared" ca="1" si="152"/>
        <v>91.768662419553664</v>
      </c>
      <c r="AS138" s="12">
        <f t="shared" ca="1" si="153"/>
        <v>0.21355419194933897</v>
      </c>
      <c r="AT138" s="11">
        <f t="shared" ca="1" si="185"/>
        <v>470.79004678960104</v>
      </c>
      <c r="AU138" s="11">
        <f t="shared" ca="1" si="154"/>
        <v>95.140923077480977</v>
      </c>
      <c r="AV138" s="12">
        <f t="shared" ca="1" si="155"/>
        <v>0.2532707174645043</v>
      </c>
      <c r="AW138" s="10">
        <f t="shared" si="186"/>
        <v>44938</v>
      </c>
      <c r="AX138" s="76">
        <f t="shared" ca="1" si="141"/>
        <v>99063.367653704641</v>
      </c>
      <c r="AY138" s="75">
        <f t="shared" ca="1" si="190"/>
        <v>16.969660374060755</v>
      </c>
      <c r="AZ138" s="75">
        <f t="shared" ca="1" si="187"/>
        <v>10.543230927322201</v>
      </c>
      <c r="BA138" s="75">
        <f t="shared" ca="1" si="142"/>
        <v>6.4264294467385543</v>
      </c>
      <c r="BB138" s="75">
        <f t="shared" ca="1" si="143"/>
        <v>99056.941224257898</v>
      </c>
      <c r="BC138" s="12"/>
      <c r="BD138" s="12"/>
    </row>
    <row r="139" spans="3:56">
      <c r="C139" s="3">
        <f t="shared" si="166"/>
        <v>12</v>
      </c>
      <c r="D139" s="3">
        <f t="shared" si="174"/>
        <v>11</v>
      </c>
      <c r="E139" s="1">
        <f t="shared" si="175"/>
        <v>2030</v>
      </c>
      <c r="F139" s="3">
        <f t="shared" si="167"/>
        <v>68</v>
      </c>
      <c r="G139" s="3">
        <f t="shared" si="176"/>
        <v>135</v>
      </c>
      <c r="H139" s="4">
        <f t="shared" si="168"/>
        <v>136834.20213727083</v>
      </c>
      <c r="L139" s="25" t="str">
        <f t="shared" ca="1" si="169"/>
        <v/>
      </c>
      <c r="M139" s="4">
        <f t="shared" si="170"/>
        <v>136834.20213727083</v>
      </c>
      <c r="N139" s="5">
        <f t="shared" si="145"/>
        <v>2.18E-2</v>
      </c>
      <c r="O139" s="6">
        <f t="shared" si="171"/>
        <v>5.0499999999999996E-2</v>
      </c>
      <c r="P139" s="4">
        <f t="shared" si="164"/>
        <v>575.84393399434805</v>
      </c>
      <c r="Q139" s="7">
        <f t="shared" si="172"/>
        <v>1147.1423660440428</v>
      </c>
      <c r="R139" s="4">
        <f t="shared" si="177"/>
        <v>571.29843204969472</v>
      </c>
      <c r="S139" s="4">
        <f t="shared" si="165"/>
        <v>136262.90370522114</v>
      </c>
      <c r="T139" s="4">
        <f t="shared" si="178"/>
        <v>0</v>
      </c>
      <c r="U139" s="4">
        <f t="shared" si="173"/>
        <v>136262.90370522114</v>
      </c>
      <c r="AE139" s="91" t="str">
        <f t="shared" ca="1" si="191"/>
        <v/>
      </c>
      <c r="AF139" s="70">
        <f t="shared" si="188"/>
        <v>44939</v>
      </c>
      <c r="AG139" s="10">
        <f t="shared" si="163"/>
        <v>44939</v>
      </c>
      <c r="AH139" s="29">
        <f ca="1">IF(AG139=TODAY()-1,Loan!F109,IF(AG139&gt;$AB$13,$AB$55,AH138-AI139*AF138+AI139*AF139))</f>
        <v>1.7704946996465409E-2</v>
      </c>
      <c r="AI139" s="87">
        <f t="shared" ca="1" si="158"/>
        <v>5.830388692579942E-5</v>
      </c>
      <c r="AJ139" s="76" t="str">
        <f t="shared" ca="1" si="181"/>
        <v/>
      </c>
      <c r="AK139" s="76" t="str">
        <f t="shared" ca="1" si="189"/>
        <v/>
      </c>
      <c r="AL139" s="76" t="str">
        <f t="shared" ca="1" si="159"/>
        <v/>
      </c>
      <c r="AM139" s="11">
        <f t="shared" ca="1" si="182"/>
        <v>177.04946996465409</v>
      </c>
      <c r="AN139" s="11">
        <f t="shared" ca="1" si="183"/>
        <v>600.22571737848921</v>
      </c>
      <c r="AO139" s="11">
        <f t="shared" ca="1" si="150"/>
        <v>88.639629905778065</v>
      </c>
      <c r="AP139" s="12">
        <f t="shared" ca="1" si="151"/>
        <v>0.17326434802726384</v>
      </c>
      <c r="AQ139" s="11">
        <f t="shared" ca="1" si="184"/>
        <v>521.80925858150908</v>
      </c>
      <c r="AR139" s="11">
        <f t="shared" ca="1" si="152"/>
        <v>92.088532512485074</v>
      </c>
      <c r="AS139" s="12">
        <f t="shared" ca="1" si="153"/>
        <v>0.21429855933384356</v>
      </c>
      <c r="AT139" s="11">
        <f t="shared" ca="1" si="185"/>
        <v>471.12380804219862</v>
      </c>
      <c r="AU139" s="11">
        <f t="shared" ca="1" si="154"/>
        <v>95.47468433007856</v>
      </c>
      <c r="AV139" s="12">
        <f t="shared" ca="1" si="155"/>
        <v>0.25415920949477816</v>
      </c>
      <c r="AW139" s="10">
        <f t="shared" si="186"/>
        <v>44939</v>
      </c>
      <c r="AX139" s="76">
        <f t="shared" ca="1" si="141"/>
        <v>99056.941224257898</v>
      </c>
      <c r="AY139" s="75">
        <f t="shared" ca="1" si="190"/>
        <v>16.978956446998463</v>
      </c>
      <c r="AZ139" s="75">
        <f t="shared" ca="1" si="187"/>
        <v>10.558369994415735</v>
      </c>
      <c r="BA139" s="75">
        <f t="shared" ca="1" si="142"/>
        <v>6.4205864525827288</v>
      </c>
      <c r="BB139" s="75">
        <f t="shared" ca="1" si="143"/>
        <v>99050.520637805312</v>
      </c>
      <c r="BC139" s="12"/>
      <c r="BD139" s="12"/>
    </row>
    <row r="140" spans="3:56">
      <c r="C140" s="3">
        <f t="shared" si="166"/>
        <v>12</v>
      </c>
      <c r="D140" s="3">
        <f t="shared" si="174"/>
        <v>12</v>
      </c>
      <c r="E140" s="1">
        <f t="shared" si="175"/>
        <v>2030</v>
      </c>
      <c r="F140" s="3">
        <f t="shared" si="167"/>
        <v>68</v>
      </c>
      <c r="G140" s="3">
        <f t="shared" si="176"/>
        <v>136</v>
      </c>
      <c r="H140" s="4">
        <f t="shared" si="168"/>
        <v>136262.90370522114</v>
      </c>
      <c r="L140" s="25" t="str">
        <f t="shared" ca="1" si="169"/>
        <v/>
      </c>
      <c r="M140" s="4">
        <f t="shared" si="170"/>
        <v>136262.90370522114</v>
      </c>
      <c r="N140" s="5">
        <f t="shared" si="145"/>
        <v>2.18E-2</v>
      </c>
      <c r="O140" s="6">
        <f t="shared" si="171"/>
        <v>5.0499999999999996E-2</v>
      </c>
      <c r="P140" s="4">
        <f t="shared" si="164"/>
        <v>573.43971975947227</v>
      </c>
      <c r="Q140" s="7">
        <f t="shared" si="172"/>
        <v>1147.142366044043</v>
      </c>
      <c r="R140" s="4">
        <f t="shared" si="177"/>
        <v>573.70264628457073</v>
      </c>
      <c r="S140" s="4">
        <f t="shared" si="165"/>
        <v>135689.20105893657</v>
      </c>
      <c r="T140" s="4">
        <f t="shared" si="178"/>
        <v>0</v>
      </c>
      <c r="U140" s="4">
        <f t="shared" si="173"/>
        <v>135689.20105893657</v>
      </c>
      <c r="AE140" s="91" t="str">
        <f t="shared" ca="1" si="191"/>
        <v/>
      </c>
      <c r="AF140" s="70">
        <f t="shared" si="188"/>
        <v>44942</v>
      </c>
      <c r="AG140" s="10">
        <f t="shared" ref="AG140" si="192">AG139+3</f>
        <v>44942</v>
      </c>
      <c r="AH140" s="29">
        <f ca="1">IF(AG140=TODAY()-1,Loan!F110,IF(AG140&gt;$AB$13,$AB$55,AH139-AI140*AF139+AI140*AF140))</f>
        <v>1.7879858657242842E-2</v>
      </c>
      <c r="AI140" s="87">
        <f t="shared" ca="1" si="158"/>
        <v>5.8303886925801114E-5</v>
      </c>
      <c r="AJ140" s="76" t="str">
        <f t="shared" ca="1" si="181"/>
        <v/>
      </c>
      <c r="AK140" s="76" t="str">
        <f t="shared" ca="1" si="189"/>
        <v/>
      </c>
      <c r="AL140" s="76" t="str">
        <f t="shared" ca="1" si="159"/>
        <v/>
      </c>
      <c r="AM140" s="11">
        <f t="shared" ca="1" si="182"/>
        <v>178.79858657242841</v>
      </c>
      <c r="AN140" s="11">
        <f t="shared" ca="1" si="183"/>
        <v>601.14280340247444</v>
      </c>
      <c r="AO140" s="11">
        <f t="shared" ca="1" si="150"/>
        <v>89.5567159297633</v>
      </c>
      <c r="AP140" s="12">
        <f t="shared" ca="1" si="151"/>
        <v>0.17505698087331276</v>
      </c>
      <c r="AQ140" s="11">
        <f t="shared" ca="1" si="184"/>
        <v>522.76951061451632</v>
      </c>
      <c r="AR140" s="11">
        <f t="shared" ca="1" si="152"/>
        <v>93.04878454549231</v>
      </c>
      <c r="AS140" s="12">
        <f t="shared" ca="1" si="153"/>
        <v>0.21653315490895433</v>
      </c>
      <c r="AT140" s="11">
        <f t="shared" ca="1" si="185"/>
        <v>472.12583120450893</v>
      </c>
      <c r="AU140" s="11">
        <f t="shared" ca="1" si="154"/>
        <v>96.476707492388869</v>
      </c>
      <c r="AV140" s="12">
        <f t="shared" ca="1" si="155"/>
        <v>0.25682665392379328</v>
      </c>
      <c r="AW140" s="10">
        <f t="shared" si="186"/>
        <v>44942</v>
      </c>
      <c r="AX140" s="76">
        <f t="shared" ca="1" si="141"/>
        <v>99050.520637805312</v>
      </c>
      <c r="AY140" s="75">
        <f t="shared" ca="1" si="190"/>
        <v>17.011265445373802</v>
      </c>
      <c r="AZ140" s="75">
        <f t="shared" ca="1" si="187"/>
        <v>10.605151634114375</v>
      </c>
      <c r="BA140" s="75">
        <f t="shared" ca="1" si="142"/>
        <v>6.4061138112594271</v>
      </c>
      <c r="BB140" s="75">
        <f t="shared" ca="1" si="143"/>
        <v>99044.114523994052</v>
      </c>
      <c r="BC140" s="12"/>
      <c r="BD140" s="12"/>
    </row>
    <row r="141" spans="3:56">
      <c r="C141" s="3">
        <f t="shared" si="166"/>
        <v>12</v>
      </c>
      <c r="D141" s="3">
        <f t="shared" si="174"/>
        <v>1</v>
      </c>
      <c r="E141" s="1">
        <f t="shared" si="175"/>
        <v>2031</v>
      </c>
      <c r="F141" s="3">
        <f t="shared" si="167"/>
        <v>68</v>
      </c>
      <c r="G141" s="3">
        <f t="shared" si="176"/>
        <v>137</v>
      </c>
      <c r="H141" s="4">
        <f t="shared" si="168"/>
        <v>135689.20105893657</v>
      </c>
      <c r="L141" s="25" t="str">
        <f t="shared" ca="1" si="169"/>
        <v/>
      </c>
      <c r="M141" s="4">
        <f t="shared" si="170"/>
        <v>135689.20105893657</v>
      </c>
      <c r="N141" s="5">
        <f t="shared" si="145"/>
        <v>2.18E-2</v>
      </c>
      <c r="O141" s="6">
        <f t="shared" si="171"/>
        <v>5.0499999999999996E-2</v>
      </c>
      <c r="P141" s="4">
        <f t="shared" si="164"/>
        <v>571.02538778969131</v>
      </c>
      <c r="Q141" s="7">
        <f t="shared" si="172"/>
        <v>1147.1423660440428</v>
      </c>
      <c r="R141" s="4">
        <f t="shared" si="177"/>
        <v>576.11697825435147</v>
      </c>
      <c r="S141" s="4">
        <f t="shared" si="165"/>
        <v>135113.08408068222</v>
      </c>
      <c r="T141" s="4">
        <f t="shared" si="178"/>
        <v>0</v>
      </c>
      <c r="U141" s="4">
        <f t="shared" si="173"/>
        <v>135113.08408068222</v>
      </c>
      <c r="AE141" s="91" t="str">
        <f t="shared" ca="1" si="191"/>
        <v/>
      </c>
      <c r="AF141" s="70">
        <f t="shared" si="188"/>
        <v>44943</v>
      </c>
      <c r="AG141" s="10">
        <f t="shared" ref="AG141" si="193">AG140+1</f>
        <v>44943</v>
      </c>
      <c r="AH141" s="29">
        <f ca="1">IF(AG141=TODAY()-1,Loan!F111,IF(AG141&gt;$AB$13,$AB$55,AH140-AI141*AF140+AI141*AF141))</f>
        <v>1.7938162544168801E-2</v>
      </c>
      <c r="AI141" s="87">
        <f t="shared" ca="1" si="158"/>
        <v>5.8303886925800937E-5</v>
      </c>
      <c r="AJ141" s="76" t="str">
        <f t="shared" ca="1" si="181"/>
        <v/>
      </c>
      <c r="AK141" s="76" t="str">
        <f t="shared" ca="1" si="189"/>
        <v/>
      </c>
      <c r="AL141" s="76" t="str">
        <f t="shared" ca="1" si="159"/>
        <v/>
      </c>
      <c r="AM141" s="11">
        <f t="shared" ca="1" si="182"/>
        <v>179.38162544168802</v>
      </c>
      <c r="AN141" s="11">
        <f t="shared" ca="1" si="183"/>
        <v>601.44867565617221</v>
      </c>
      <c r="AO141" s="11">
        <f t="shared" ca="1" si="150"/>
        <v>89.862588183461071</v>
      </c>
      <c r="AP141" s="12">
        <f t="shared" ca="1" si="151"/>
        <v>0.17565487096686241</v>
      </c>
      <c r="AQ141" s="11">
        <f t="shared" ca="1" si="184"/>
        <v>523.08980844201506</v>
      </c>
      <c r="AR141" s="11">
        <f t="shared" ca="1" si="152"/>
        <v>93.369082372991045</v>
      </c>
      <c r="AS141" s="12">
        <f t="shared" ca="1" si="153"/>
        <v>0.21727851767148323</v>
      </c>
      <c r="AT141" s="11">
        <f t="shared" ca="1" si="185"/>
        <v>472.46008522747729</v>
      </c>
      <c r="AU141" s="11">
        <f t="shared" ca="1" si="154"/>
        <v>96.810961515357235</v>
      </c>
      <c r="AV141" s="12">
        <f t="shared" ca="1" si="155"/>
        <v>0.2577164577376963</v>
      </c>
      <c r="AW141" s="10">
        <f t="shared" si="186"/>
        <v>44943</v>
      </c>
      <c r="AX141" s="76">
        <f t="shared" ca="1" si="141"/>
        <v>99044.114523994052</v>
      </c>
      <c r="AY141" s="75">
        <f t="shared" ca="1" si="190"/>
        <v>17.018375173159679</v>
      </c>
      <c r="AZ141" s="75">
        <f t="shared" ca="1" si="187"/>
        <v>10.620286721324245</v>
      </c>
      <c r="BA141" s="75">
        <f t="shared" ca="1" si="142"/>
        <v>6.3980884518354344</v>
      </c>
      <c r="BB141" s="75">
        <f t="shared" ca="1" si="143"/>
        <v>99037.716435542214</v>
      </c>
      <c r="BC141" s="12"/>
      <c r="BD141" s="12"/>
    </row>
    <row r="142" spans="3:56">
      <c r="C142" s="3">
        <f t="shared" si="166"/>
        <v>12</v>
      </c>
      <c r="D142" s="3">
        <f t="shared" si="174"/>
        <v>2</v>
      </c>
      <c r="E142" s="1">
        <f t="shared" si="175"/>
        <v>2031</v>
      </c>
      <c r="F142" s="3">
        <f t="shared" si="167"/>
        <v>69</v>
      </c>
      <c r="G142" s="3">
        <f t="shared" si="176"/>
        <v>138</v>
      </c>
      <c r="H142" s="4">
        <f t="shared" si="168"/>
        <v>135113.08408068222</v>
      </c>
      <c r="L142" s="25" t="str">
        <f t="shared" ca="1" si="169"/>
        <v/>
      </c>
      <c r="M142" s="4">
        <f t="shared" si="170"/>
        <v>135113.08408068222</v>
      </c>
      <c r="N142" s="5">
        <f t="shared" si="145"/>
        <v>2.18E-2</v>
      </c>
      <c r="O142" s="6">
        <f t="shared" si="171"/>
        <v>5.0499999999999996E-2</v>
      </c>
      <c r="P142" s="4">
        <f t="shared" si="164"/>
        <v>568.60089550620432</v>
      </c>
      <c r="Q142" s="7">
        <f t="shared" si="172"/>
        <v>1147.1423660440432</v>
      </c>
      <c r="R142" s="4">
        <f t="shared" si="177"/>
        <v>578.5414705378389</v>
      </c>
      <c r="S142" s="4">
        <f t="shared" si="165"/>
        <v>134534.54261014439</v>
      </c>
      <c r="T142" s="4">
        <f t="shared" si="178"/>
        <v>0</v>
      </c>
      <c r="U142" s="4">
        <f t="shared" si="173"/>
        <v>134534.54261014439</v>
      </c>
      <c r="AE142" s="91" t="str">
        <f t="shared" ca="1" si="191"/>
        <v/>
      </c>
      <c r="AF142" s="70">
        <f t="shared" si="188"/>
        <v>44944</v>
      </c>
      <c r="AG142" s="10">
        <f t="shared" si="163"/>
        <v>44944</v>
      </c>
      <c r="AH142" s="29">
        <f ca="1">IF(AG142=TODAY()-1,Loan!F112,IF(AG142&gt;$AB$13,$AB$55,AH141-AI142*AF141+AI142*AF142))</f>
        <v>1.799646643109476E-2</v>
      </c>
      <c r="AI142" s="87">
        <f t="shared" ca="1" si="158"/>
        <v>5.8303886925799975E-5</v>
      </c>
      <c r="AJ142" s="76" t="str">
        <f t="shared" ca="1" si="181"/>
        <v/>
      </c>
      <c r="AK142" s="76" t="str">
        <f t="shared" ca="1" si="189"/>
        <v/>
      </c>
      <c r="AL142" s="76" t="str">
        <f t="shared" ca="1" si="159"/>
        <v/>
      </c>
      <c r="AM142" s="11">
        <f t="shared" ca="1" si="182"/>
        <v>179.9646643109476</v>
      </c>
      <c r="AN142" s="11">
        <f t="shared" ca="1" si="183"/>
        <v>601.75463633852269</v>
      </c>
      <c r="AO142" s="11">
        <f t="shared" ca="1" si="150"/>
        <v>90.168548865811545</v>
      </c>
      <c r="AP142" s="12">
        <f t="shared" ca="1" si="151"/>
        <v>0.17625293391236188</v>
      </c>
      <c r="AQ142" s="11">
        <f t="shared" ca="1" si="184"/>
        <v>523.41021312684825</v>
      </c>
      <c r="AR142" s="11">
        <f t="shared" ca="1" si="152"/>
        <v>93.689487057824238</v>
      </c>
      <c r="AS142" s="12">
        <f t="shared" ca="1" si="153"/>
        <v>0.2180241291009439</v>
      </c>
      <c r="AT142" s="11">
        <f t="shared" ca="1" si="185"/>
        <v>472.79446231840177</v>
      </c>
      <c r="AU142" s="11">
        <f t="shared" ca="1" si="154"/>
        <v>97.145338606281712</v>
      </c>
      <c r="AV142" s="12">
        <f t="shared" ca="1" si="155"/>
        <v>0.25860658916571666</v>
      </c>
      <c r="AW142" s="10">
        <f t="shared" si="186"/>
        <v>44944</v>
      </c>
      <c r="AX142" s="76">
        <f t="shared" ca="1" si="141"/>
        <v>99037.716435542214</v>
      </c>
      <c r="AY142" s="75">
        <f t="shared" ca="1" si="190"/>
        <v>17.027688205348266</v>
      </c>
      <c r="AZ142" s="75">
        <f t="shared" ca="1" si="187"/>
        <v>10.635420623775376</v>
      </c>
      <c r="BA142" s="75">
        <f t="shared" ca="1" si="142"/>
        <v>6.3922675815728898</v>
      </c>
      <c r="BB142" s="75">
        <f t="shared" ca="1" si="143"/>
        <v>99031.324167960644</v>
      </c>
      <c r="BC142" s="12"/>
      <c r="BD142" s="12"/>
    </row>
    <row r="143" spans="3:56">
      <c r="C143" s="3">
        <f t="shared" si="166"/>
        <v>12</v>
      </c>
      <c r="D143" s="3">
        <f t="shared" si="174"/>
        <v>3</v>
      </c>
      <c r="E143" s="1">
        <f t="shared" si="175"/>
        <v>2031</v>
      </c>
      <c r="F143" s="3">
        <f t="shared" si="167"/>
        <v>69</v>
      </c>
      <c r="G143" s="3">
        <f t="shared" si="176"/>
        <v>139</v>
      </c>
      <c r="H143" s="4">
        <f t="shared" si="168"/>
        <v>134534.54261014439</v>
      </c>
      <c r="L143" s="25" t="str">
        <f t="shared" ca="1" si="169"/>
        <v/>
      </c>
      <c r="M143" s="4">
        <f t="shared" si="170"/>
        <v>134534.54261014439</v>
      </c>
      <c r="N143" s="5">
        <f t="shared" si="145"/>
        <v>2.18E-2</v>
      </c>
      <c r="O143" s="6">
        <f t="shared" si="171"/>
        <v>5.0499999999999996E-2</v>
      </c>
      <c r="P143" s="4">
        <f t="shared" si="164"/>
        <v>566.16620015102433</v>
      </c>
      <c r="Q143" s="7">
        <f t="shared" si="172"/>
        <v>1147.1423660440432</v>
      </c>
      <c r="R143" s="4">
        <f t="shared" si="177"/>
        <v>580.9761658930189</v>
      </c>
      <c r="S143" s="4">
        <f t="shared" si="165"/>
        <v>133953.56644425137</v>
      </c>
      <c r="T143" s="4">
        <f t="shared" si="178"/>
        <v>0</v>
      </c>
      <c r="U143" s="4">
        <f t="shared" si="173"/>
        <v>133953.56644425137</v>
      </c>
      <c r="AE143" s="91" t="str">
        <f t="shared" ca="1" si="191"/>
        <v/>
      </c>
      <c r="AF143" s="70">
        <f t="shared" si="188"/>
        <v>44945</v>
      </c>
      <c r="AG143" s="10">
        <f t="shared" si="163"/>
        <v>44945</v>
      </c>
      <c r="AH143" s="29">
        <f ca="1">IF(AG143=TODAY()-1,Loan!F113,IF(AG143&gt;$AB$13,$AB$55,AH142-AI143*AF142+AI143*AF143))</f>
        <v>1.8054770318020719E-2</v>
      </c>
      <c r="AI143" s="87">
        <f t="shared" ca="1" si="158"/>
        <v>5.8303886925798999E-5</v>
      </c>
      <c r="AJ143" s="76" t="str">
        <f t="shared" ca="1" si="181"/>
        <v/>
      </c>
      <c r="AK143" s="76" t="str">
        <f t="shared" ca="1" si="189"/>
        <v/>
      </c>
      <c r="AL143" s="76" t="str">
        <f t="shared" ca="1" si="159"/>
        <v/>
      </c>
      <c r="AM143" s="11">
        <f t="shared" ca="1" si="182"/>
        <v>180.54770318020718</v>
      </c>
      <c r="AN143" s="11">
        <f t="shared" ca="1" si="183"/>
        <v>602.06068543299534</v>
      </c>
      <c r="AO143" s="11">
        <f t="shared" ca="1" si="150"/>
        <v>90.4745979602842</v>
      </c>
      <c r="AP143" s="12">
        <f t="shared" ca="1" si="151"/>
        <v>0.17685116967749884</v>
      </c>
      <c r="AQ143" s="11">
        <f t="shared" ca="1" si="184"/>
        <v>523.73072463843164</v>
      </c>
      <c r="AR143" s="11">
        <f t="shared" ca="1" si="152"/>
        <v>94.009998569407628</v>
      </c>
      <c r="AS143" s="12">
        <f t="shared" ca="1" si="153"/>
        <v>0.21876998912616388</v>
      </c>
      <c r="AT143" s="11">
        <f t="shared" ca="1" si="185"/>
        <v>473.12896242733541</v>
      </c>
      <c r="AU143" s="11">
        <f t="shared" ca="1" si="154"/>
        <v>97.479838715215351</v>
      </c>
      <c r="AV143" s="12">
        <f t="shared" ca="1" si="155"/>
        <v>0.25949704807489277</v>
      </c>
      <c r="AW143" s="10">
        <f t="shared" si="186"/>
        <v>44945</v>
      </c>
      <c r="AX143" s="76">
        <f t="shared" ca="1" si="141"/>
        <v>99031.324167960644</v>
      </c>
      <c r="AY143" s="75">
        <f t="shared" ca="1" si="190"/>
        <v>17.037004386876312</v>
      </c>
      <c r="AZ143" s="75">
        <f t="shared" ca="1" si="187"/>
        <v>10.650553108226712</v>
      </c>
      <c r="BA143" s="75">
        <f t="shared" ca="1" si="142"/>
        <v>6.3864512786496004</v>
      </c>
      <c r="BB143" s="75">
        <f t="shared" ca="1" si="143"/>
        <v>99024.93771668199</v>
      </c>
      <c r="BC143" s="12"/>
      <c r="BD143" s="12"/>
    </row>
    <row r="144" spans="3:56">
      <c r="C144" s="3">
        <f t="shared" si="166"/>
        <v>12</v>
      </c>
      <c r="D144" s="3">
        <f t="shared" si="174"/>
        <v>4</v>
      </c>
      <c r="E144" s="1">
        <f t="shared" si="175"/>
        <v>2031</v>
      </c>
      <c r="F144" s="3">
        <f t="shared" si="167"/>
        <v>69</v>
      </c>
      <c r="G144" s="3">
        <f t="shared" si="176"/>
        <v>140</v>
      </c>
      <c r="H144" s="4">
        <f t="shared" si="168"/>
        <v>133953.56644425137</v>
      </c>
      <c r="L144" s="25" t="str">
        <f t="shared" ca="1" si="169"/>
        <v/>
      </c>
      <c r="M144" s="4">
        <f t="shared" si="170"/>
        <v>133953.56644425137</v>
      </c>
      <c r="N144" s="5">
        <f t="shared" si="145"/>
        <v>2.18E-2</v>
      </c>
      <c r="O144" s="6">
        <f t="shared" si="171"/>
        <v>5.0499999999999996E-2</v>
      </c>
      <c r="P144" s="4">
        <f t="shared" si="164"/>
        <v>563.72125878622444</v>
      </c>
      <c r="Q144" s="7">
        <f t="shared" si="172"/>
        <v>1147.1423660440435</v>
      </c>
      <c r="R144" s="4">
        <f t="shared" si="177"/>
        <v>583.42110725781902</v>
      </c>
      <c r="S144" s="4">
        <f t="shared" si="165"/>
        <v>133370.14533699353</v>
      </c>
      <c r="T144" s="4">
        <f t="shared" si="178"/>
        <v>0</v>
      </c>
      <c r="U144" s="4">
        <f t="shared" si="173"/>
        <v>133370.14533699353</v>
      </c>
      <c r="AE144" s="91" t="str">
        <f t="shared" ca="1" si="191"/>
        <v/>
      </c>
      <c r="AF144" s="70">
        <f t="shared" si="188"/>
        <v>44946</v>
      </c>
      <c r="AG144" s="10">
        <f t="shared" si="163"/>
        <v>44946</v>
      </c>
      <c r="AH144" s="29">
        <f ca="1">IF(AG144=TODAY()-1,Loan!F114,IF(AG144&gt;$AB$13,$AB$55,AH143-AI144*AF143+AI144*AF144))</f>
        <v>1.8113074204946233E-2</v>
      </c>
      <c r="AI144" s="87">
        <f t="shared" ca="1" si="158"/>
        <v>5.830388692579801E-5</v>
      </c>
      <c r="AJ144" s="76" t="str">
        <f t="shared" ca="1" si="181"/>
        <v/>
      </c>
      <c r="AK144" s="76" t="str">
        <f t="shared" ca="1" si="189"/>
        <v/>
      </c>
      <c r="AL144" s="76" t="str">
        <f t="shared" ca="1" si="159"/>
        <v/>
      </c>
      <c r="AM144" s="11">
        <f t="shared" ca="1" si="182"/>
        <v>181.13074204946233</v>
      </c>
      <c r="AN144" s="11">
        <f t="shared" ca="1" si="183"/>
        <v>602.36682292306887</v>
      </c>
      <c r="AO144" s="11">
        <f t="shared" ca="1" si="150"/>
        <v>90.780735450357724</v>
      </c>
      <c r="AP144" s="12">
        <f t="shared" ca="1" si="151"/>
        <v>0.17744957822997898</v>
      </c>
      <c r="AQ144" s="11">
        <f t="shared" ca="1" si="184"/>
        <v>524.05134294616892</v>
      </c>
      <c r="AR144" s="11">
        <f t="shared" ca="1" si="152"/>
        <v>94.330616877144905</v>
      </c>
      <c r="AS144" s="12">
        <f t="shared" ca="1" si="153"/>
        <v>0.21951609767594274</v>
      </c>
      <c r="AT144" s="11">
        <f t="shared" ca="1" si="185"/>
        <v>473.46358550429949</v>
      </c>
      <c r="AU144" s="11">
        <f t="shared" ca="1" si="154"/>
        <v>97.814461792179429</v>
      </c>
      <c r="AV144" s="12">
        <f t="shared" ca="1" si="155"/>
        <v>0.26038783433217821</v>
      </c>
      <c r="AW144" s="10">
        <f t="shared" si="186"/>
        <v>44946</v>
      </c>
      <c r="AX144" s="76">
        <f t="shared" ca="1" si="141"/>
        <v>99024.93771668199</v>
      </c>
      <c r="AY144" s="75">
        <f t="shared" ca="1" si="190"/>
        <v>17.046323717141501</v>
      </c>
      <c r="AZ144" s="75">
        <f t="shared" ca="1" si="187"/>
        <v>10.665684176975612</v>
      </c>
      <c r="BA144" s="75">
        <f t="shared" ca="1" si="142"/>
        <v>6.3806395401658893</v>
      </c>
      <c r="BB144" s="75">
        <f t="shared" ca="1" si="143"/>
        <v>99018.557077141828</v>
      </c>
      <c r="BC144" s="12"/>
      <c r="BD144" s="12"/>
    </row>
    <row r="145" spans="3:56">
      <c r="C145" s="3">
        <f t="shared" si="166"/>
        <v>12</v>
      </c>
      <c r="D145" s="3">
        <f t="shared" si="174"/>
        <v>5</v>
      </c>
      <c r="E145" s="1">
        <f t="shared" si="175"/>
        <v>2031</v>
      </c>
      <c r="F145" s="3">
        <f t="shared" si="167"/>
        <v>69</v>
      </c>
      <c r="G145" s="3">
        <f t="shared" si="176"/>
        <v>141</v>
      </c>
      <c r="H145" s="4">
        <f t="shared" si="168"/>
        <v>133370.14533699353</v>
      </c>
      <c r="L145" s="25" t="str">
        <f t="shared" ca="1" si="169"/>
        <v/>
      </c>
      <c r="M145" s="4">
        <f t="shared" si="170"/>
        <v>133370.14533699353</v>
      </c>
      <c r="N145" s="5">
        <f t="shared" si="145"/>
        <v>2.18E-2</v>
      </c>
      <c r="O145" s="6">
        <f t="shared" si="171"/>
        <v>5.0499999999999996E-2</v>
      </c>
      <c r="P145" s="4">
        <f t="shared" si="164"/>
        <v>561.26602829318108</v>
      </c>
      <c r="Q145" s="7">
        <f t="shared" si="172"/>
        <v>1147.1423660440432</v>
      </c>
      <c r="R145" s="4">
        <f t="shared" si="177"/>
        <v>585.87633775086215</v>
      </c>
      <c r="S145" s="4">
        <f t="shared" si="165"/>
        <v>132784.26899924266</v>
      </c>
      <c r="T145" s="4">
        <f t="shared" si="178"/>
        <v>0</v>
      </c>
      <c r="U145" s="4">
        <f t="shared" si="173"/>
        <v>132784.26899924266</v>
      </c>
      <c r="AE145" s="91" t="str">
        <f t="shared" ca="1" si="191"/>
        <v/>
      </c>
      <c r="AF145" s="70">
        <f t="shared" si="188"/>
        <v>44949</v>
      </c>
      <c r="AG145" s="10">
        <f t="shared" ref="AG145" si="194">AG144+3</f>
        <v>44949</v>
      </c>
      <c r="AH145" s="29">
        <f ca="1">IF(AG145=TODAY()-1,Loan!F115,IF(AG145&gt;$AB$13,$AB$55,AH144-AI145*AF144+AI145*AF145))</f>
        <v>1.8287985865723222E-2</v>
      </c>
      <c r="AI145" s="87">
        <f t="shared" ca="1" si="158"/>
        <v>5.8303886925799772E-5</v>
      </c>
      <c r="AJ145" s="76" t="str">
        <f t="shared" ca="1" si="181"/>
        <v/>
      </c>
      <c r="AK145" s="76" t="str">
        <f t="shared" ca="1" si="189"/>
        <v/>
      </c>
      <c r="AL145" s="76" t="str">
        <f t="shared" ca="1" si="159"/>
        <v/>
      </c>
      <c r="AM145" s="11">
        <f t="shared" ca="1" si="182"/>
        <v>182.87985865723221</v>
      </c>
      <c r="AN145" s="11">
        <f t="shared" ca="1" si="183"/>
        <v>603.28576560095439</v>
      </c>
      <c r="AO145" s="11">
        <f t="shared" ca="1" si="150"/>
        <v>91.699678128243249</v>
      </c>
      <c r="AP145" s="12">
        <f t="shared" ca="1" si="151"/>
        <v>0.17924584028711427</v>
      </c>
      <c r="AQ145" s="11">
        <f t="shared" ca="1" si="184"/>
        <v>525.01383833951309</v>
      </c>
      <c r="AR145" s="11">
        <f t="shared" ca="1" si="152"/>
        <v>95.293112270489075</v>
      </c>
      <c r="AS145" s="12">
        <f t="shared" ca="1" si="153"/>
        <v>0.22175591375870149</v>
      </c>
      <c r="AT145" s="11">
        <f t="shared" ca="1" si="185"/>
        <v>474.46819204260879</v>
      </c>
      <c r="AU145" s="11">
        <f t="shared" ca="1" si="154"/>
        <v>98.819068330488733</v>
      </c>
      <c r="AV145" s="12">
        <f t="shared" ca="1" si="155"/>
        <v>0.26306215585962356</v>
      </c>
      <c r="AW145" s="10">
        <f t="shared" si="186"/>
        <v>44949</v>
      </c>
      <c r="AX145" s="76">
        <f t="shared" ca="1" si="141"/>
        <v>99018.557077141828</v>
      </c>
      <c r="AY145" s="75">
        <f t="shared" ca="1" si="190"/>
        <v>17.078693827829174</v>
      </c>
      <c r="AZ145" s="75">
        <f t="shared" ca="1" si="187"/>
        <v>10.712447622757493</v>
      </c>
      <c r="BA145" s="75">
        <f t="shared" ca="1" si="142"/>
        <v>6.3662462050716808</v>
      </c>
      <c r="BB145" s="75">
        <f t="shared" ca="1" si="143"/>
        <v>99012.190830936757</v>
      </c>
      <c r="BC145" s="12"/>
      <c r="BD145" s="12"/>
    </row>
    <row r="146" spans="3:56">
      <c r="C146" s="3">
        <f t="shared" si="166"/>
        <v>12</v>
      </c>
      <c r="D146" s="3">
        <f t="shared" si="174"/>
        <v>6</v>
      </c>
      <c r="E146" s="1">
        <f t="shared" si="175"/>
        <v>2031</v>
      </c>
      <c r="F146" s="3">
        <f t="shared" si="167"/>
        <v>69</v>
      </c>
      <c r="G146" s="3">
        <f t="shared" si="176"/>
        <v>142</v>
      </c>
      <c r="H146" s="4">
        <f t="shared" si="168"/>
        <v>132784.26899924266</v>
      </c>
      <c r="L146" s="25" t="str">
        <f t="shared" ca="1" si="169"/>
        <v/>
      </c>
      <c r="M146" s="4">
        <f t="shared" si="170"/>
        <v>132784.26899924266</v>
      </c>
      <c r="N146" s="5">
        <f t="shared" si="145"/>
        <v>2.18E-2</v>
      </c>
      <c r="O146" s="6">
        <f t="shared" si="171"/>
        <v>5.0499999999999996E-2</v>
      </c>
      <c r="P146" s="4">
        <f t="shared" si="164"/>
        <v>558.80046537181283</v>
      </c>
      <c r="Q146" s="7">
        <f t="shared" si="172"/>
        <v>1147.1423660440435</v>
      </c>
      <c r="R146" s="4">
        <f t="shared" si="177"/>
        <v>588.34190067223062</v>
      </c>
      <c r="S146" s="4">
        <f t="shared" si="165"/>
        <v>132195.92709857042</v>
      </c>
      <c r="T146" s="4">
        <f t="shared" si="178"/>
        <v>0</v>
      </c>
      <c r="U146" s="4">
        <f t="shared" si="173"/>
        <v>132195.92709857042</v>
      </c>
      <c r="AE146" s="91" t="str">
        <f t="shared" ca="1" si="191"/>
        <v/>
      </c>
      <c r="AF146" s="70">
        <f t="shared" si="188"/>
        <v>44950</v>
      </c>
      <c r="AG146" s="10">
        <f t="shared" ref="AG146" si="195">AG145+1</f>
        <v>44950</v>
      </c>
      <c r="AH146" s="29">
        <f ca="1">IF(AG146=TODAY()-1,Loan!F116,IF(AG146&gt;$AB$13,$AB$55,AH145-AI146*AF145+AI146*AF146))</f>
        <v>1.8346289752648737E-2</v>
      </c>
      <c r="AI146" s="87">
        <f t="shared" ca="1" si="158"/>
        <v>5.8303886925802374E-5</v>
      </c>
      <c r="AJ146" s="76" t="str">
        <f t="shared" ca="1" si="181"/>
        <v/>
      </c>
      <c r="AK146" s="76" t="str">
        <f t="shared" ca="1" si="189"/>
        <v/>
      </c>
      <c r="AL146" s="76" t="str">
        <f t="shared" ca="1" si="159"/>
        <v/>
      </c>
      <c r="AM146" s="11">
        <f t="shared" ca="1" si="182"/>
        <v>183.46289752648738</v>
      </c>
      <c r="AN146" s="11">
        <f t="shared" ca="1" si="183"/>
        <v>603.59225650743099</v>
      </c>
      <c r="AO146" s="11">
        <f t="shared" ca="1" si="150"/>
        <v>92.006169034719846</v>
      </c>
      <c r="AP146" s="12">
        <f t="shared" ca="1" si="151"/>
        <v>0.17984493966448534</v>
      </c>
      <c r="AQ146" s="11">
        <f t="shared" ca="1" si="184"/>
        <v>525.33488352493464</v>
      </c>
      <c r="AR146" s="11">
        <f t="shared" ca="1" si="152"/>
        <v>95.614157455910629</v>
      </c>
      <c r="AS146" s="12">
        <f t="shared" ca="1" si="153"/>
        <v>0.22250301569245831</v>
      </c>
      <c r="AT146" s="11">
        <f t="shared" ca="1" si="185"/>
        <v>474.80330649070822</v>
      </c>
      <c r="AU146" s="11">
        <f t="shared" ca="1" si="154"/>
        <v>99.154182778588165</v>
      </c>
      <c r="AV146" s="12">
        <f t="shared" ca="1" si="155"/>
        <v>0.26395425017569135</v>
      </c>
      <c r="AW146" s="10">
        <f t="shared" si="186"/>
        <v>44950</v>
      </c>
      <c r="AX146" s="76">
        <f t="shared" ca="1" si="141"/>
        <v>99012.190830936757</v>
      </c>
      <c r="AY146" s="75">
        <f t="shared" ca="1" si="190"/>
        <v>17.085831111018717</v>
      </c>
      <c r="AZ146" s="75">
        <f t="shared" ca="1" si="187"/>
        <v>10.727574760670619</v>
      </c>
      <c r="BA146" s="75">
        <f t="shared" ca="1" si="142"/>
        <v>6.358256350348098</v>
      </c>
      <c r="BB146" s="75">
        <f t="shared" ca="1" si="143"/>
        <v>99005.832574586413</v>
      </c>
      <c r="BC146" s="12"/>
      <c r="BD146" s="12"/>
    </row>
    <row r="147" spans="3:56">
      <c r="C147" s="3">
        <f t="shared" si="166"/>
        <v>12</v>
      </c>
      <c r="D147" s="3">
        <f t="shared" si="174"/>
        <v>7</v>
      </c>
      <c r="E147" s="1">
        <f t="shared" si="175"/>
        <v>2031</v>
      </c>
      <c r="F147" s="3">
        <f t="shared" si="167"/>
        <v>69</v>
      </c>
      <c r="G147" s="3">
        <f t="shared" si="176"/>
        <v>143</v>
      </c>
      <c r="H147" s="4">
        <f t="shared" si="168"/>
        <v>132195.92709857042</v>
      </c>
      <c r="L147" s="25" t="str">
        <f t="shared" ca="1" si="169"/>
        <v/>
      </c>
      <c r="M147" s="4">
        <f t="shared" si="170"/>
        <v>132195.92709857042</v>
      </c>
      <c r="N147" s="5">
        <f t="shared" si="145"/>
        <v>2.18E-2</v>
      </c>
      <c r="O147" s="6">
        <f t="shared" si="171"/>
        <v>5.0499999999999996E-2</v>
      </c>
      <c r="P147" s="4">
        <f t="shared" si="164"/>
        <v>556.32452653981716</v>
      </c>
      <c r="Q147" s="7">
        <f t="shared" si="172"/>
        <v>1147.142366044043</v>
      </c>
      <c r="R147" s="4">
        <f t="shared" si="177"/>
        <v>590.81783950422584</v>
      </c>
      <c r="S147" s="4">
        <f t="shared" si="165"/>
        <v>131605.1092590662</v>
      </c>
      <c r="T147" s="4">
        <f t="shared" si="178"/>
        <v>0</v>
      </c>
      <c r="U147" s="4">
        <f t="shared" si="173"/>
        <v>131605.1092590662</v>
      </c>
      <c r="AE147" s="91" t="str">
        <f t="shared" ca="1" si="191"/>
        <v/>
      </c>
      <c r="AF147" s="70">
        <f t="shared" si="188"/>
        <v>44951</v>
      </c>
      <c r="AG147" s="10">
        <f t="shared" si="163"/>
        <v>44951</v>
      </c>
      <c r="AH147" s="29">
        <f ca="1">IF(AG147=TODAY()-1,Loan!F117,IF(AG147&gt;$AB$13,$AB$55,AH146-AI147*AF146+AI147*AF147))</f>
        <v>1.8404593639574252E-2</v>
      </c>
      <c r="AI147" s="87">
        <f t="shared" ca="1" si="158"/>
        <v>5.8303886925804204E-5</v>
      </c>
      <c r="AJ147" s="76" t="str">
        <f t="shared" ca="1" si="181"/>
        <v/>
      </c>
      <c r="AK147" s="76" t="str">
        <f t="shared" ca="1" si="189"/>
        <v/>
      </c>
      <c r="AL147" s="76" t="str">
        <f t="shared" ca="1" si="159"/>
        <v/>
      </c>
      <c r="AM147" s="11">
        <f t="shared" ca="1" si="182"/>
        <v>184.0459363957425</v>
      </c>
      <c r="AN147" s="11">
        <f t="shared" ca="1" si="183"/>
        <v>603.89883572645635</v>
      </c>
      <c r="AO147" s="11">
        <f t="shared" ca="1" si="150"/>
        <v>92.312748253745212</v>
      </c>
      <c r="AP147" s="12">
        <f t="shared" ca="1" si="151"/>
        <v>0.1804442116668572</v>
      </c>
      <c r="AQ147" s="11">
        <f t="shared" ca="1" si="184"/>
        <v>525.65603535291234</v>
      </c>
      <c r="AR147" s="11">
        <f t="shared" ca="1" si="152"/>
        <v>95.93530928388833</v>
      </c>
      <c r="AS147" s="12">
        <f t="shared" ca="1" si="153"/>
        <v>0.22325036579333782</v>
      </c>
      <c r="AT147" s="11">
        <f t="shared" ca="1" si="185"/>
        <v>475.13854365613184</v>
      </c>
      <c r="AU147" s="11">
        <f t="shared" ca="1" si="154"/>
        <v>99.489419944011786</v>
      </c>
      <c r="AV147" s="12">
        <f t="shared" ca="1" si="155"/>
        <v>0.26484667117247379</v>
      </c>
      <c r="AW147" s="10">
        <f t="shared" si="186"/>
        <v>44951</v>
      </c>
      <c r="AX147" s="76">
        <f t="shared" ca="1" si="141"/>
        <v>99005.832574586413</v>
      </c>
      <c r="AY147" s="75">
        <f t="shared" ca="1" si="190"/>
        <v>17.095167377195647</v>
      </c>
      <c r="AZ147" s="75">
        <f t="shared" ca="1" si="187"/>
        <v>10.74270073168279</v>
      </c>
      <c r="BA147" s="75">
        <f t="shared" ca="1" si="142"/>
        <v>6.3524666455128571</v>
      </c>
      <c r="BB147" s="75">
        <f t="shared" ca="1" si="143"/>
        <v>98999.480107940894</v>
      </c>
      <c r="BC147" s="12"/>
      <c r="BD147" s="12"/>
    </row>
    <row r="148" spans="3:56">
      <c r="C148" s="3">
        <f t="shared" si="166"/>
        <v>12</v>
      </c>
      <c r="D148" s="3">
        <f t="shared" si="174"/>
        <v>8</v>
      </c>
      <c r="E148" s="1">
        <f t="shared" si="175"/>
        <v>2031</v>
      </c>
      <c r="F148" s="3">
        <f t="shared" si="167"/>
        <v>69</v>
      </c>
      <c r="G148" s="3">
        <f t="shared" si="176"/>
        <v>144</v>
      </c>
      <c r="H148" s="4">
        <f t="shared" si="168"/>
        <v>131605.1092590662</v>
      </c>
      <c r="L148" s="25" t="str">
        <f t="shared" ca="1" si="169"/>
        <v/>
      </c>
      <c r="M148" s="4">
        <f t="shared" si="170"/>
        <v>131605.1092590662</v>
      </c>
      <c r="N148" s="5">
        <f t="shared" si="145"/>
        <v>2.18E-2</v>
      </c>
      <c r="O148" s="6">
        <f t="shared" si="171"/>
        <v>5.0499999999999996E-2</v>
      </c>
      <c r="P148" s="4">
        <f t="shared" si="164"/>
        <v>553.83816813190356</v>
      </c>
      <c r="Q148" s="7">
        <f t="shared" si="172"/>
        <v>1147.1423660440432</v>
      </c>
      <c r="R148" s="4">
        <f t="shared" si="177"/>
        <v>593.30419791213967</v>
      </c>
      <c r="S148" s="4">
        <f t="shared" si="165"/>
        <v>131011.80506115407</v>
      </c>
      <c r="T148" s="4">
        <f t="shared" si="178"/>
        <v>0</v>
      </c>
      <c r="U148" s="4">
        <f t="shared" si="173"/>
        <v>131011.80506115407</v>
      </c>
      <c r="AE148" s="91" t="str">
        <f t="shared" ca="1" si="191"/>
        <v/>
      </c>
      <c r="AF148" s="70">
        <f t="shared" si="188"/>
        <v>44952</v>
      </c>
      <c r="AG148" s="10">
        <f t="shared" si="163"/>
        <v>44952</v>
      </c>
      <c r="AH148" s="29">
        <f ca="1">IF(AG148=TODAY()-1,Loan!F118,IF(AG148&gt;$AB$13,$AB$55,AH147-AI148*AF147+AI148*AF148))</f>
        <v>1.846289752650021E-2</v>
      </c>
      <c r="AI148" s="87">
        <f t="shared" ca="1" si="158"/>
        <v>5.830388692580606E-5</v>
      </c>
      <c r="AJ148" s="76" t="str">
        <f t="shared" ca="1" si="181"/>
        <v/>
      </c>
      <c r="AK148" s="76" t="str">
        <f t="shared" ca="1" si="189"/>
        <v/>
      </c>
      <c r="AL148" s="76" t="str">
        <f t="shared" ca="1" si="159"/>
        <v/>
      </c>
      <c r="AM148" s="11">
        <f t="shared" ca="1" si="182"/>
        <v>184.62897526500211</v>
      </c>
      <c r="AN148" s="11">
        <f t="shared" ca="1" si="183"/>
        <v>604.20550324131989</v>
      </c>
      <c r="AO148" s="11">
        <f t="shared" ca="1" si="150"/>
        <v>92.619415768608746</v>
      </c>
      <c r="AP148" s="12">
        <f t="shared" ca="1" si="151"/>
        <v>0.1810436562615656</v>
      </c>
      <c r="AQ148" s="11">
        <f t="shared" ca="1" si="184"/>
        <v>525.97729379259465</v>
      </c>
      <c r="AR148" s="11">
        <f t="shared" ca="1" si="152"/>
        <v>96.25656772357064</v>
      </c>
      <c r="AS148" s="12">
        <f t="shared" ca="1" si="153"/>
        <v>0.22399796398954563</v>
      </c>
      <c r="AT148" s="11">
        <f t="shared" ca="1" si="185"/>
        <v>475.47390348856902</v>
      </c>
      <c r="AU148" s="11">
        <f t="shared" ca="1" si="154"/>
        <v>99.824779776448963</v>
      </c>
      <c r="AV148" s="12">
        <f t="shared" ca="1" si="155"/>
        <v>0.26573941871604101</v>
      </c>
      <c r="AW148" s="10">
        <f t="shared" si="186"/>
        <v>44952</v>
      </c>
      <c r="AX148" s="76">
        <f t="shared" ca="1" si="141"/>
        <v>98999.480107940894</v>
      </c>
      <c r="AY148" s="75">
        <f t="shared" ca="1" si="190"/>
        <v>17.104506788851847</v>
      </c>
      <c r="AZ148" s="75">
        <f t="shared" ca="1" si="187"/>
        <v>10.757825300542619</v>
      </c>
      <c r="BA148" s="75">
        <f t="shared" ca="1" si="142"/>
        <v>6.346681488309228</v>
      </c>
      <c r="BB148" s="75">
        <f t="shared" ca="1" si="143"/>
        <v>98993.133426452579</v>
      </c>
      <c r="BC148" s="12"/>
      <c r="BD148" s="12"/>
    </row>
    <row r="149" spans="3:56">
      <c r="C149" s="3">
        <f t="shared" si="166"/>
        <v>13</v>
      </c>
      <c r="D149" s="3">
        <f t="shared" si="174"/>
        <v>9</v>
      </c>
      <c r="E149" s="1">
        <f t="shared" si="175"/>
        <v>2031</v>
      </c>
      <c r="F149" s="3">
        <f t="shared" si="167"/>
        <v>69</v>
      </c>
      <c r="G149" s="3">
        <f t="shared" si="176"/>
        <v>145</v>
      </c>
      <c r="H149" s="4">
        <f t="shared" si="168"/>
        <v>131011.80506115407</v>
      </c>
      <c r="L149" s="25" t="str">
        <f t="shared" ca="1" si="169"/>
        <v/>
      </c>
      <c r="M149" s="4">
        <f t="shared" si="170"/>
        <v>131011.80506115407</v>
      </c>
      <c r="N149" s="5">
        <f t="shared" si="145"/>
        <v>2.18E-2</v>
      </c>
      <c r="O149" s="6">
        <f t="shared" si="171"/>
        <v>5.0499999999999996E-2</v>
      </c>
      <c r="P149" s="4">
        <f t="shared" si="164"/>
        <v>551.34134629902326</v>
      </c>
      <c r="Q149" s="7">
        <f t="shared" si="172"/>
        <v>1147.1423660440432</v>
      </c>
      <c r="R149" s="4">
        <f t="shared" si="177"/>
        <v>595.80101974501997</v>
      </c>
      <c r="S149" s="4">
        <f t="shared" si="165"/>
        <v>130416.00404140905</v>
      </c>
      <c r="T149" s="4">
        <f t="shared" si="178"/>
        <v>0</v>
      </c>
      <c r="U149" s="4">
        <f t="shared" si="173"/>
        <v>130416.00404140905</v>
      </c>
      <c r="AE149" s="91" t="str">
        <f t="shared" ca="1" si="191"/>
        <v/>
      </c>
      <c r="AF149" s="70">
        <f t="shared" si="188"/>
        <v>44953</v>
      </c>
      <c r="AG149" s="10">
        <f t="shared" si="163"/>
        <v>44953</v>
      </c>
      <c r="AH149" s="29">
        <f ca="1">IF(AG149=TODAY()-1,Loan!F119,IF(AG149&gt;$AB$13,$AB$55,AH148-AI149*AF148+AI149*AF149))</f>
        <v>1.8521201413425725E-2</v>
      </c>
      <c r="AI149" s="87">
        <f t="shared" ca="1" si="158"/>
        <v>5.8303886925805071E-5</v>
      </c>
      <c r="AJ149" s="76" t="str">
        <f t="shared" ca="1" si="181"/>
        <v/>
      </c>
      <c r="AK149" s="76" t="str">
        <f t="shared" ca="1" si="189"/>
        <v/>
      </c>
      <c r="AL149" s="76" t="str">
        <f t="shared" ca="1" si="159"/>
        <v/>
      </c>
      <c r="AM149" s="11">
        <f t="shared" ca="1" si="182"/>
        <v>185.21201413425726</v>
      </c>
      <c r="AN149" s="11">
        <f t="shared" ca="1" si="183"/>
        <v>604.51225903532963</v>
      </c>
      <c r="AO149" s="11">
        <f t="shared" ca="1" si="150"/>
        <v>92.926171562618492</v>
      </c>
      <c r="AP149" s="12">
        <f t="shared" ca="1" si="151"/>
        <v>0.18164327341598266</v>
      </c>
      <c r="AQ149" s="11">
        <f t="shared" ca="1" si="184"/>
        <v>526.29865881312401</v>
      </c>
      <c r="AR149" s="11">
        <f t="shared" ca="1" si="152"/>
        <v>96.577932744099996</v>
      </c>
      <c r="AS149" s="12">
        <f t="shared" ca="1" si="153"/>
        <v>0.22474581020927331</v>
      </c>
      <c r="AT149" s="11">
        <f t="shared" ca="1" si="185"/>
        <v>475.80938593768172</v>
      </c>
      <c r="AU149" s="11">
        <f t="shared" ca="1" si="154"/>
        <v>100.16026222556167</v>
      </c>
      <c r="AV149" s="12">
        <f t="shared" ca="1" si="155"/>
        <v>0.26663249267239025</v>
      </c>
      <c r="AW149" s="10">
        <f t="shared" si="186"/>
        <v>44953</v>
      </c>
      <c r="AX149" s="76">
        <f t="shared" ca="1" si="141"/>
        <v>98993.133426452579</v>
      </c>
      <c r="AY149" s="75">
        <f t="shared" ca="1" si="190"/>
        <v>17.113849345355014</v>
      </c>
      <c r="AZ149" s="75">
        <f t="shared" ca="1" si="187"/>
        <v>10.772948469529451</v>
      </c>
      <c r="BA149" s="75">
        <f t="shared" ca="1" si="142"/>
        <v>6.3409008758255627</v>
      </c>
      <c r="BB149" s="75">
        <f t="shared" ca="1" si="143"/>
        <v>98986.792525576748</v>
      </c>
      <c r="BC149" s="12"/>
      <c r="BD149" s="12"/>
    </row>
    <row r="150" spans="3:56">
      <c r="C150" s="3">
        <f t="shared" si="166"/>
        <v>13</v>
      </c>
      <c r="D150" s="3">
        <f t="shared" si="174"/>
        <v>10</v>
      </c>
      <c r="E150" s="1">
        <f t="shared" si="175"/>
        <v>2031</v>
      </c>
      <c r="F150" s="3">
        <f t="shared" si="167"/>
        <v>69</v>
      </c>
      <c r="G150" s="3">
        <f t="shared" si="176"/>
        <v>146</v>
      </c>
      <c r="H150" s="4">
        <f t="shared" si="168"/>
        <v>130416.00404140905</v>
      </c>
      <c r="L150" s="25" t="str">
        <f t="shared" ca="1" si="169"/>
        <v/>
      </c>
      <c r="M150" s="4">
        <f t="shared" si="170"/>
        <v>130416.00404140905</v>
      </c>
      <c r="N150" s="5">
        <f t="shared" si="145"/>
        <v>2.18E-2</v>
      </c>
      <c r="O150" s="6">
        <f t="shared" si="171"/>
        <v>5.0499999999999996E-2</v>
      </c>
      <c r="P150" s="4">
        <f t="shared" si="164"/>
        <v>548.83401700759634</v>
      </c>
      <c r="Q150" s="7">
        <f t="shared" si="172"/>
        <v>1147.1423660440435</v>
      </c>
      <c r="R150" s="4">
        <f t="shared" si="177"/>
        <v>598.30834903644711</v>
      </c>
      <c r="S150" s="4">
        <f t="shared" si="165"/>
        <v>129817.6956923726</v>
      </c>
      <c r="T150" s="4">
        <f t="shared" si="178"/>
        <v>0</v>
      </c>
      <c r="U150" s="4">
        <f t="shared" si="173"/>
        <v>129817.6956923726</v>
      </c>
      <c r="AE150" s="91" t="str">
        <f t="shared" ca="1" si="191"/>
        <v/>
      </c>
      <c r="AF150" s="70">
        <f t="shared" si="188"/>
        <v>44956</v>
      </c>
      <c r="AG150" s="10">
        <f t="shared" ref="AG150" si="196">AG149+3</f>
        <v>44956</v>
      </c>
      <c r="AH150" s="29">
        <f ca="1">IF(AG150=TODAY()-1,Loan!F120,IF(AG150&gt;$AB$13,$AB$55,AH149-AI150*AF149+AI150*AF150))</f>
        <v>1.8696113074203158E-2</v>
      </c>
      <c r="AI150" s="87">
        <f t="shared" ca="1" si="158"/>
        <v>5.8303886925806955E-5</v>
      </c>
      <c r="AJ150" s="76" t="str">
        <f t="shared" ca="1" si="181"/>
        <v/>
      </c>
      <c r="AK150" s="76" t="str">
        <f t="shared" ca="1" si="189"/>
        <v/>
      </c>
      <c r="AL150" s="76" t="str">
        <f t="shared" ca="1" si="159"/>
        <v/>
      </c>
      <c r="AM150" s="11">
        <f t="shared" ca="1" si="182"/>
        <v>186.96113074203157</v>
      </c>
      <c r="AN150" s="11">
        <f t="shared" ca="1" si="183"/>
        <v>605.43305592517595</v>
      </c>
      <c r="AO150" s="11">
        <f t="shared" ca="1" si="150"/>
        <v>93.846968452464807</v>
      </c>
      <c r="AP150" s="12">
        <f t="shared" ca="1" si="151"/>
        <v>0.18344315991093241</v>
      </c>
      <c r="AQ150" s="11">
        <f t="shared" ca="1" si="184"/>
        <v>527.26339305086265</v>
      </c>
      <c r="AR150" s="11">
        <f t="shared" ca="1" si="152"/>
        <v>97.542666981838636</v>
      </c>
      <c r="AS150" s="12">
        <f t="shared" ca="1" si="153"/>
        <v>0.22699083629066291</v>
      </c>
      <c r="AT150" s="11">
        <f t="shared" ca="1" si="185"/>
        <v>476.81656848110538</v>
      </c>
      <c r="AU150" s="11">
        <f t="shared" ca="1" si="154"/>
        <v>101.16744476898532</v>
      </c>
      <c r="AV150" s="12">
        <f t="shared" ca="1" si="155"/>
        <v>0.26931367167653858</v>
      </c>
      <c r="AW150" s="10">
        <f t="shared" si="186"/>
        <v>44956</v>
      </c>
      <c r="AX150" s="76">
        <f t="shared" ca="1" si="141"/>
        <v>98986.792525576748</v>
      </c>
      <c r="AY150" s="75">
        <f t="shared" ca="1" si="190"/>
        <v>17.146280427588724</v>
      </c>
      <c r="AZ150" s="75">
        <f t="shared" ca="1" si="187"/>
        <v>10.819693883433146</v>
      </c>
      <c r="BA150" s="75">
        <f t="shared" ca="1" si="142"/>
        <v>6.3265865441555782</v>
      </c>
      <c r="BB150" s="75">
        <f t="shared" ca="1" si="143"/>
        <v>98980.465939032598</v>
      </c>
      <c r="BC150" s="12"/>
      <c r="BD150" s="12"/>
    </row>
    <row r="151" spans="3:56">
      <c r="C151" s="3">
        <f t="shared" si="166"/>
        <v>13</v>
      </c>
      <c r="D151" s="3">
        <f t="shared" si="174"/>
        <v>11</v>
      </c>
      <c r="E151" s="1">
        <f t="shared" si="175"/>
        <v>2031</v>
      </c>
      <c r="F151" s="3">
        <f t="shared" si="167"/>
        <v>69</v>
      </c>
      <c r="G151" s="3">
        <f t="shared" si="176"/>
        <v>147</v>
      </c>
      <c r="H151" s="4">
        <f t="shared" si="168"/>
        <v>129817.6956923726</v>
      </c>
      <c r="L151" s="25" t="str">
        <f t="shared" ca="1" si="169"/>
        <v/>
      </c>
      <c r="M151" s="4">
        <f t="shared" si="170"/>
        <v>129817.6956923726</v>
      </c>
      <c r="N151" s="5">
        <f t="shared" si="145"/>
        <v>2.18E-2</v>
      </c>
      <c r="O151" s="6">
        <f t="shared" si="171"/>
        <v>5.0499999999999996E-2</v>
      </c>
      <c r="P151" s="4">
        <f t="shared" si="164"/>
        <v>546.31613603873461</v>
      </c>
      <c r="Q151" s="7">
        <f t="shared" si="172"/>
        <v>1147.1423660440437</v>
      </c>
      <c r="R151" s="4">
        <f t="shared" si="177"/>
        <v>600.82623000530907</v>
      </c>
      <c r="S151" s="4">
        <f t="shared" si="165"/>
        <v>129216.86946236729</v>
      </c>
      <c r="T151" s="4">
        <f t="shared" si="178"/>
        <v>0</v>
      </c>
      <c r="U151" s="4">
        <f t="shared" si="173"/>
        <v>129216.86946236729</v>
      </c>
      <c r="AE151" s="91" t="str">
        <f t="shared" ca="1" si="191"/>
        <v/>
      </c>
      <c r="AF151" s="70">
        <f t="shared" si="188"/>
        <v>44957</v>
      </c>
      <c r="AG151" s="10">
        <f t="shared" ref="AG151" si="197">AG150+1</f>
        <v>44957</v>
      </c>
      <c r="AH151" s="29">
        <f ca="1">IF(AG151=TODAY()-1,Loan!F121,IF(AG151&gt;$AB$13,$AB$55,AH150-AI151*AF150+AI151*AF151))</f>
        <v>1.8754416961128673E-2</v>
      </c>
      <c r="AI151" s="87">
        <f t="shared" ca="1" si="158"/>
        <v>5.830388692580688E-5</v>
      </c>
      <c r="AJ151" s="76" t="str">
        <f t="shared" ca="1" si="181"/>
        <v/>
      </c>
      <c r="AK151" s="76" t="str">
        <f t="shared" ca="1" si="189"/>
        <v/>
      </c>
      <c r="AL151" s="76" t="str">
        <f t="shared" ca="1" si="159"/>
        <v/>
      </c>
      <c r="AM151" s="11">
        <f t="shared" ca="1" si="182"/>
        <v>187.54416961128672</v>
      </c>
      <c r="AN151" s="11">
        <f t="shared" ca="1" si="183"/>
        <v>605.74016466853936</v>
      </c>
      <c r="AO151" s="11">
        <f t="shared" ca="1" si="150"/>
        <v>94.154077195828222</v>
      </c>
      <c r="AP151" s="12">
        <f t="shared" ca="1" si="151"/>
        <v>0.18404346697729648</v>
      </c>
      <c r="AQ151" s="11">
        <f t="shared" ca="1" si="184"/>
        <v>527.58518408562225</v>
      </c>
      <c r="AR151" s="11">
        <f t="shared" ca="1" si="152"/>
        <v>97.864458016598235</v>
      </c>
      <c r="AS151" s="12">
        <f t="shared" ca="1" si="153"/>
        <v>0.22773967388503091</v>
      </c>
      <c r="AT151" s="11">
        <f t="shared" ca="1" si="185"/>
        <v>477.15254089266392</v>
      </c>
      <c r="AU151" s="11">
        <f t="shared" ca="1" si="154"/>
        <v>101.50341718054386</v>
      </c>
      <c r="AV151" s="12">
        <f t="shared" ca="1" si="155"/>
        <v>0.27020804994165604</v>
      </c>
      <c r="AW151" s="10">
        <f t="shared" si="186"/>
        <v>44957</v>
      </c>
      <c r="AX151" s="76">
        <f t="shared" ca="1" si="141"/>
        <v>98980.465939032598</v>
      </c>
      <c r="AY151" s="75">
        <f t="shared" ca="1" si="190"/>
        <v>17.153445258465077</v>
      </c>
      <c r="AZ151" s="75">
        <f t="shared" ca="1" si="187"/>
        <v>10.834813170232611</v>
      </c>
      <c r="BA151" s="75">
        <f t="shared" ca="1" si="142"/>
        <v>6.3186320882324658</v>
      </c>
      <c r="BB151" s="75">
        <f t="shared" ca="1" si="143"/>
        <v>98974.14730694436</v>
      </c>
      <c r="BC151" s="12"/>
      <c r="BD151" s="12"/>
    </row>
    <row r="152" spans="3:56">
      <c r="C152" s="3">
        <f t="shared" si="166"/>
        <v>13</v>
      </c>
      <c r="D152" s="3">
        <f t="shared" si="174"/>
        <v>12</v>
      </c>
      <c r="E152" s="1">
        <f t="shared" si="175"/>
        <v>2031</v>
      </c>
      <c r="F152" s="3">
        <f t="shared" si="167"/>
        <v>69</v>
      </c>
      <c r="G152" s="3">
        <f t="shared" si="176"/>
        <v>148</v>
      </c>
      <c r="H152" s="4">
        <f t="shared" si="168"/>
        <v>129216.86946236729</v>
      </c>
      <c r="L152" s="25" t="str">
        <f t="shared" ca="1" si="169"/>
        <v/>
      </c>
      <c r="M152" s="4">
        <f t="shared" si="170"/>
        <v>129216.86946236729</v>
      </c>
      <c r="N152" s="5">
        <f t="shared" si="145"/>
        <v>2.18E-2</v>
      </c>
      <c r="O152" s="6">
        <f t="shared" si="171"/>
        <v>5.0499999999999996E-2</v>
      </c>
      <c r="P152" s="4">
        <f t="shared" si="164"/>
        <v>543.78765898746235</v>
      </c>
      <c r="Q152" s="7">
        <f t="shared" si="172"/>
        <v>1147.1423660440439</v>
      </c>
      <c r="R152" s="4">
        <f t="shared" si="177"/>
        <v>603.35470705658156</v>
      </c>
      <c r="S152" s="4">
        <f t="shared" si="165"/>
        <v>128613.51475531071</v>
      </c>
      <c r="T152" s="4">
        <f t="shared" si="178"/>
        <v>0</v>
      </c>
      <c r="U152" s="4">
        <f t="shared" si="173"/>
        <v>128613.51475531071</v>
      </c>
      <c r="AE152" s="91" t="str">
        <f t="shared" ca="1" si="191"/>
        <v/>
      </c>
      <c r="AF152" s="70">
        <f t="shared" si="188"/>
        <v>44958</v>
      </c>
      <c r="AG152" s="10">
        <f t="shared" si="163"/>
        <v>44958</v>
      </c>
      <c r="AH152" s="29">
        <f ca="1">IF(AG152=TODAY()-1,Loan!F122,IF(AG152&gt;$AB$13,$AB$55,AH151-AI152*AF151+AI152*AF152))</f>
        <v>1.8812720848054632E-2</v>
      </c>
      <c r="AI152" s="87">
        <f t="shared" ca="1" si="158"/>
        <v>5.8303886925808825E-5</v>
      </c>
      <c r="AJ152" s="76" t="str">
        <f t="shared" ca="1" si="181"/>
        <v/>
      </c>
      <c r="AK152" s="76" t="str">
        <f t="shared" ca="1" si="189"/>
        <v/>
      </c>
      <c r="AL152" s="76" t="str">
        <f t="shared" ca="1" si="159"/>
        <v/>
      </c>
      <c r="AM152" s="11">
        <f t="shared" ca="1" si="182"/>
        <v>188.1272084805463</v>
      </c>
      <c r="AN152" s="11">
        <f t="shared" ca="1" si="183"/>
        <v>606.04736160730681</v>
      </c>
      <c r="AO152" s="11">
        <f t="shared" ca="1" si="150"/>
        <v>94.461274134595669</v>
      </c>
      <c r="AP152" s="12">
        <f t="shared" ca="1" si="151"/>
        <v>0.18464394643967794</v>
      </c>
      <c r="AQ152" s="11">
        <f t="shared" ca="1" si="184"/>
        <v>527.90708154646029</v>
      </c>
      <c r="AR152" s="11">
        <f t="shared" ca="1" si="152"/>
        <v>98.18635547743628</v>
      </c>
      <c r="AS152" s="12">
        <f t="shared" ca="1" si="153"/>
        <v>0.2284887591427579</v>
      </c>
      <c r="AT152" s="11">
        <f t="shared" ca="1" si="185"/>
        <v>477.48863566851355</v>
      </c>
      <c r="AU152" s="11">
        <f t="shared" ca="1" si="154"/>
        <v>101.83951195639349</v>
      </c>
      <c r="AV152" s="12">
        <f t="shared" ca="1" si="155"/>
        <v>0.27110275394769334</v>
      </c>
      <c r="AW152" s="10">
        <f t="shared" si="186"/>
        <v>44958</v>
      </c>
      <c r="AX152" s="76">
        <f t="shared" ca="1" si="141"/>
        <v>98974.14730694436</v>
      </c>
      <c r="AY152" s="75">
        <f t="shared" ca="1" si="190"/>
        <v>17.162804727258884</v>
      </c>
      <c r="AZ152" s="75">
        <f t="shared" ca="1" si="187"/>
        <v>10.849931307854803</v>
      </c>
      <c r="BA152" s="75">
        <f t="shared" ca="1" si="142"/>
        <v>6.312873419404081</v>
      </c>
      <c r="BB152" s="75">
        <f t="shared" ca="1" si="143"/>
        <v>98967.834433524957</v>
      </c>
      <c r="BC152" s="12"/>
      <c r="BD152" s="12"/>
    </row>
    <row r="153" spans="3:56">
      <c r="C153" s="3">
        <f t="shared" si="166"/>
        <v>13</v>
      </c>
      <c r="D153" s="3">
        <f t="shared" si="174"/>
        <v>1</v>
      </c>
      <c r="E153" s="1">
        <f t="shared" si="175"/>
        <v>2032</v>
      </c>
      <c r="F153" s="3">
        <f t="shared" si="167"/>
        <v>69</v>
      </c>
      <c r="G153" s="3">
        <f t="shared" si="176"/>
        <v>149</v>
      </c>
      <c r="H153" s="4">
        <f t="shared" si="168"/>
        <v>128613.51475531071</v>
      </c>
      <c r="L153" s="25" t="str">
        <f t="shared" ca="1" si="169"/>
        <v/>
      </c>
      <c r="M153" s="4">
        <f t="shared" si="170"/>
        <v>128613.51475531071</v>
      </c>
      <c r="N153" s="5">
        <f t="shared" si="145"/>
        <v>2.18E-2</v>
      </c>
      <c r="O153" s="6">
        <f t="shared" si="171"/>
        <v>5.0499999999999996E-2</v>
      </c>
      <c r="P153" s="4">
        <f t="shared" si="164"/>
        <v>541.24854126193247</v>
      </c>
      <c r="Q153" s="7">
        <f t="shared" si="172"/>
        <v>1147.1423660440437</v>
      </c>
      <c r="R153" s="4">
        <f t="shared" si="177"/>
        <v>605.89382478211121</v>
      </c>
      <c r="S153" s="4">
        <f t="shared" si="165"/>
        <v>128007.6209305286</v>
      </c>
      <c r="T153" s="4">
        <f t="shared" si="178"/>
        <v>0</v>
      </c>
      <c r="U153" s="4">
        <f t="shared" si="173"/>
        <v>128007.6209305286</v>
      </c>
      <c r="AE153" s="91" t="str">
        <f t="shared" ca="1" si="191"/>
        <v/>
      </c>
      <c r="AF153" s="70">
        <f t="shared" si="188"/>
        <v>44959</v>
      </c>
      <c r="AG153" s="10">
        <f t="shared" si="163"/>
        <v>44959</v>
      </c>
      <c r="AH153" s="29">
        <f ca="1">IF(AG153=TODAY()-1,Loan!F123,IF(AG153&gt;$AB$13,$AB$55,AH152-AI153*AF152+AI153*AF153))</f>
        <v>1.887102473498059E-2</v>
      </c>
      <c r="AI153" s="87">
        <f t="shared" ca="1" si="158"/>
        <v>5.8303886925807822E-5</v>
      </c>
      <c r="AJ153" s="76" t="str">
        <f t="shared" ca="1" si="181"/>
        <v/>
      </c>
      <c r="AK153" s="76" t="str">
        <f t="shared" ca="1" si="189"/>
        <v/>
      </c>
      <c r="AL153" s="76" t="str">
        <f t="shared" ca="1" si="159"/>
        <v/>
      </c>
      <c r="AM153" s="11">
        <f t="shared" ca="1" si="182"/>
        <v>188.71024734980591</v>
      </c>
      <c r="AN153" s="11">
        <f t="shared" ca="1" si="183"/>
        <v>606.35464672470971</v>
      </c>
      <c r="AO153" s="11">
        <f t="shared" ca="1" si="150"/>
        <v>94.768559251998568</v>
      </c>
      <c r="AP153" s="12">
        <f t="shared" ca="1" si="151"/>
        <v>0.18524459826529915</v>
      </c>
      <c r="AQ153" s="11">
        <f t="shared" ca="1" si="184"/>
        <v>528.22908540235301</v>
      </c>
      <c r="AR153" s="11">
        <f t="shared" ca="1" si="152"/>
        <v>98.508359333328997</v>
      </c>
      <c r="AS153" s="12">
        <f t="shared" ca="1" si="153"/>
        <v>0.22923809199164868</v>
      </c>
      <c r="AT153" s="11">
        <f t="shared" ca="1" si="185"/>
        <v>477.82485275805738</v>
      </c>
      <c r="AU153" s="11">
        <f t="shared" ca="1" si="154"/>
        <v>102.17572904593732</v>
      </c>
      <c r="AV153" s="12">
        <f t="shared" ca="1" si="155"/>
        <v>0.27199778355995852</v>
      </c>
      <c r="AW153" s="10">
        <f t="shared" si="186"/>
        <v>44959</v>
      </c>
      <c r="AX153" s="76">
        <f t="shared" ca="1" si="141"/>
        <v>98967.834433524957</v>
      </c>
      <c r="AY153" s="75">
        <f t="shared" ca="1" si="190"/>
        <v>17.172167337633553</v>
      </c>
      <c r="AZ153" s="75">
        <f t="shared" ca="1" si="187"/>
        <v>10.865048059049979</v>
      </c>
      <c r="BA153" s="75">
        <f t="shared" ca="1" si="142"/>
        <v>6.3071192785835741</v>
      </c>
      <c r="BB153" s="75">
        <f t="shared" ca="1" si="143"/>
        <v>98961.52731424637</v>
      </c>
      <c r="BC153" s="12"/>
      <c r="BD153" s="12"/>
    </row>
    <row r="154" spans="3:56">
      <c r="C154" s="3">
        <f t="shared" si="166"/>
        <v>13</v>
      </c>
      <c r="D154" s="3">
        <f t="shared" si="174"/>
        <v>2</v>
      </c>
      <c r="E154" s="1">
        <f t="shared" si="175"/>
        <v>2032</v>
      </c>
      <c r="F154" s="3">
        <f t="shared" si="167"/>
        <v>70</v>
      </c>
      <c r="G154" s="3">
        <f t="shared" si="176"/>
        <v>150</v>
      </c>
      <c r="H154" s="4">
        <f t="shared" si="168"/>
        <v>128007.6209305286</v>
      </c>
      <c r="L154" s="25" t="str">
        <f t="shared" ca="1" si="169"/>
        <v/>
      </c>
      <c r="M154" s="4">
        <f t="shared" si="170"/>
        <v>128007.6209305286</v>
      </c>
      <c r="N154" s="5">
        <f t="shared" si="145"/>
        <v>2.18E-2</v>
      </c>
      <c r="O154" s="6">
        <f t="shared" si="171"/>
        <v>5.0499999999999996E-2</v>
      </c>
      <c r="P154" s="4">
        <f t="shared" si="164"/>
        <v>538.69873808264117</v>
      </c>
      <c r="Q154" s="7">
        <f t="shared" si="172"/>
        <v>1147.1423660440441</v>
      </c>
      <c r="R154" s="4">
        <f t="shared" si="177"/>
        <v>608.44362796140297</v>
      </c>
      <c r="S154" s="4">
        <f t="shared" si="165"/>
        <v>127399.1773025672</v>
      </c>
      <c r="T154" s="4">
        <f t="shared" si="178"/>
        <v>0</v>
      </c>
      <c r="U154" s="4">
        <f t="shared" si="173"/>
        <v>127399.1773025672</v>
      </c>
      <c r="AE154" s="91" t="str">
        <f t="shared" ca="1" si="191"/>
        <v/>
      </c>
      <c r="AF154" s="70">
        <f t="shared" si="188"/>
        <v>44960</v>
      </c>
      <c r="AG154" s="10">
        <f t="shared" si="163"/>
        <v>44960</v>
      </c>
      <c r="AH154" s="29">
        <f ca="1">IF(AG154=TODAY()-1,Loan!F124,IF(AG154&gt;$AB$13,$AB$55,AH153-AI154*AF153+AI154*AF154))</f>
        <v>1.8929328621906549E-2</v>
      </c>
      <c r="AI154" s="87">
        <f t="shared" ca="1" si="158"/>
        <v>5.8303886925806799E-5</v>
      </c>
      <c r="AJ154" s="76" t="str">
        <f t="shared" ca="1" si="181"/>
        <v/>
      </c>
      <c r="AK154" s="76" t="str">
        <f t="shared" ca="1" si="189"/>
        <v/>
      </c>
      <c r="AL154" s="76" t="str">
        <f t="shared" ca="1" si="159"/>
        <v/>
      </c>
      <c r="AM154" s="11">
        <f t="shared" ca="1" si="182"/>
        <v>189.29328621906549</v>
      </c>
      <c r="AN154" s="11">
        <f t="shared" ca="1" si="183"/>
        <v>606.66202000385749</v>
      </c>
      <c r="AO154" s="11">
        <f t="shared" ca="1" si="150"/>
        <v>95.07593253114635</v>
      </c>
      <c r="AP154" s="12">
        <f t="shared" ca="1" si="151"/>
        <v>0.18584542242114405</v>
      </c>
      <c r="AQ154" s="11">
        <f t="shared" ca="1" si="184"/>
        <v>528.55119562216453</v>
      </c>
      <c r="AR154" s="11">
        <f t="shared" ca="1" si="152"/>
        <v>98.830469553140517</v>
      </c>
      <c r="AS154" s="12">
        <f t="shared" ca="1" si="153"/>
        <v>0.22998767235924722</v>
      </c>
      <c r="AT154" s="11">
        <f t="shared" ca="1" si="185"/>
        <v>478.16119211058901</v>
      </c>
      <c r="AU154" s="11">
        <f t="shared" ca="1" si="154"/>
        <v>102.51206839846895</v>
      </c>
      <c r="AV154" s="12">
        <f t="shared" ca="1" si="155"/>
        <v>0.27289313864346831</v>
      </c>
      <c r="AW154" s="10">
        <f t="shared" si="186"/>
        <v>44960</v>
      </c>
      <c r="AX154" s="76">
        <f t="shared" ca="1" si="141"/>
        <v>98961.52731424637</v>
      </c>
      <c r="AY154" s="75">
        <f t="shared" ca="1" si="190"/>
        <v>17.181533088904295</v>
      </c>
      <c r="AZ154" s="75">
        <f t="shared" ca="1" si="187"/>
        <v>10.880163426079928</v>
      </c>
      <c r="BA154" s="75">
        <f t="shared" ca="1" si="142"/>
        <v>6.3013696628243672</v>
      </c>
      <c r="BB154" s="75">
        <f t="shared" ca="1" si="143"/>
        <v>98955.225944583552</v>
      </c>
      <c r="BC154" s="12"/>
      <c r="BD154" s="12"/>
    </row>
    <row r="155" spans="3:56">
      <c r="C155" s="3">
        <f t="shared" si="166"/>
        <v>13</v>
      </c>
      <c r="D155" s="3">
        <f t="shared" si="174"/>
        <v>3</v>
      </c>
      <c r="E155" s="1">
        <f t="shared" si="175"/>
        <v>2032</v>
      </c>
      <c r="F155" s="3">
        <f t="shared" si="167"/>
        <v>70</v>
      </c>
      <c r="G155" s="3">
        <f t="shared" si="176"/>
        <v>151</v>
      </c>
      <c r="H155" s="4">
        <f t="shared" si="168"/>
        <v>127399.1773025672</v>
      </c>
      <c r="L155" s="25" t="str">
        <f t="shared" ca="1" si="169"/>
        <v/>
      </c>
      <c r="M155" s="4">
        <f t="shared" si="170"/>
        <v>127399.1773025672</v>
      </c>
      <c r="N155" s="5">
        <f t="shared" si="145"/>
        <v>2.18E-2</v>
      </c>
      <c r="O155" s="6">
        <f t="shared" si="171"/>
        <v>5.0499999999999996E-2</v>
      </c>
      <c r="P155" s="4">
        <f t="shared" si="164"/>
        <v>536.13820448163699</v>
      </c>
      <c r="Q155" s="7">
        <f t="shared" si="172"/>
        <v>1147.1423660440439</v>
      </c>
      <c r="R155" s="4">
        <f t="shared" si="177"/>
        <v>611.00416156240692</v>
      </c>
      <c r="S155" s="4">
        <f t="shared" si="165"/>
        <v>126788.17314100479</v>
      </c>
      <c r="T155" s="4">
        <f t="shared" si="178"/>
        <v>0</v>
      </c>
      <c r="U155" s="4">
        <f t="shared" si="173"/>
        <v>126788.17314100479</v>
      </c>
      <c r="AE155" s="91" t="str">
        <f t="shared" ca="1" si="191"/>
        <v/>
      </c>
      <c r="AF155" s="70">
        <f t="shared" si="188"/>
        <v>44963</v>
      </c>
      <c r="AG155" s="10">
        <f t="shared" ref="AG155" si="198">AG154+3</f>
        <v>44963</v>
      </c>
      <c r="AH155" s="29">
        <f ca="1">IF(AG155=TODAY()-1,Loan!F125,IF(AG155&gt;$AB$13,$AB$55,AH154-AI155*AF154+AI155*AF155))</f>
        <v>1.9104240282683982E-2</v>
      </c>
      <c r="AI155" s="87">
        <f t="shared" ca="1" si="158"/>
        <v>5.8303886925805762E-5</v>
      </c>
      <c r="AJ155" s="76" t="str">
        <f t="shared" ca="1" si="181"/>
        <v/>
      </c>
      <c r="AK155" s="76" t="str">
        <f t="shared" ca="1" si="189"/>
        <v/>
      </c>
      <c r="AL155" s="76" t="str">
        <f t="shared" ca="1" si="159"/>
        <v/>
      </c>
      <c r="AM155" s="11">
        <f t="shared" ca="1" si="182"/>
        <v>191.0424028268398</v>
      </c>
      <c r="AN155" s="11">
        <f t="shared" ca="1" si="183"/>
        <v>607.58466864332149</v>
      </c>
      <c r="AO155" s="11">
        <f t="shared" ca="1" si="150"/>
        <v>95.99858117061035</v>
      </c>
      <c r="AP155" s="12">
        <f t="shared" ca="1" si="151"/>
        <v>0.18764892854075332</v>
      </c>
      <c r="AQ155" s="11">
        <f t="shared" ca="1" si="184"/>
        <v>529.51816415383155</v>
      </c>
      <c r="AR155" s="11">
        <f t="shared" ca="1" si="152"/>
        <v>99.797438084807538</v>
      </c>
      <c r="AS155" s="12">
        <f t="shared" ca="1" si="153"/>
        <v>0.23223789784991089</v>
      </c>
      <c r="AT155" s="11">
        <f t="shared" ca="1" si="185"/>
        <v>479.17094323879712</v>
      </c>
      <c r="AU155" s="11">
        <f t="shared" ca="1" si="154"/>
        <v>103.52181952667706</v>
      </c>
      <c r="AV155" s="12">
        <f t="shared" ca="1" si="155"/>
        <v>0.27558115537096622</v>
      </c>
      <c r="AW155" s="10">
        <f t="shared" si="186"/>
        <v>44963</v>
      </c>
      <c r="AX155" s="76">
        <f t="shared" ca="1" si="141"/>
        <v>98955.225944583552</v>
      </c>
      <c r="AY155" s="75">
        <f t="shared" ca="1" si="190"/>
        <v>17.21402500112633</v>
      </c>
      <c r="AZ155" s="75">
        <f t="shared" ca="1" si="187"/>
        <v>10.926890969035014</v>
      </c>
      <c r="BA155" s="75">
        <f t="shared" ca="1" si="142"/>
        <v>6.2871340320913163</v>
      </c>
      <c r="BB155" s="75">
        <f t="shared" ca="1" si="143"/>
        <v>98948.938810551466</v>
      </c>
      <c r="BC155" s="12"/>
      <c r="BD155" s="12"/>
    </row>
    <row r="156" spans="3:56">
      <c r="C156" s="3">
        <f t="shared" si="166"/>
        <v>13</v>
      </c>
      <c r="D156" s="3">
        <f t="shared" si="174"/>
        <v>4</v>
      </c>
      <c r="E156" s="1">
        <f t="shared" si="175"/>
        <v>2032</v>
      </c>
      <c r="F156" s="3">
        <f t="shared" si="167"/>
        <v>70</v>
      </c>
      <c r="G156" s="3">
        <f t="shared" si="176"/>
        <v>152</v>
      </c>
      <c r="H156" s="4">
        <f t="shared" si="168"/>
        <v>126788.17314100479</v>
      </c>
      <c r="L156" s="25" t="str">
        <f t="shared" ca="1" si="169"/>
        <v/>
      </c>
      <c r="M156" s="4">
        <f t="shared" si="170"/>
        <v>126788.17314100479</v>
      </c>
      <c r="N156" s="5">
        <f t="shared" si="145"/>
        <v>2.18E-2</v>
      </c>
      <c r="O156" s="6">
        <f t="shared" si="171"/>
        <v>5.0499999999999996E-2</v>
      </c>
      <c r="P156" s="4">
        <f t="shared" si="164"/>
        <v>533.56689530172844</v>
      </c>
      <c r="Q156" s="7">
        <f t="shared" si="172"/>
        <v>1147.1423660440439</v>
      </c>
      <c r="R156" s="4">
        <f t="shared" si="177"/>
        <v>613.57547074231547</v>
      </c>
      <c r="S156" s="4">
        <f t="shared" si="165"/>
        <v>126174.59767026248</v>
      </c>
      <c r="T156" s="4">
        <f t="shared" si="178"/>
        <v>0</v>
      </c>
      <c r="U156" s="4">
        <f t="shared" si="173"/>
        <v>126174.59767026248</v>
      </c>
      <c r="AE156" s="91" t="str">
        <f t="shared" ca="1" si="191"/>
        <v/>
      </c>
      <c r="AF156" s="70">
        <f t="shared" si="188"/>
        <v>44964</v>
      </c>
      <c r="AG156" s="10">
        <f t="shared" ref="AG156" si="199">AG155+1</f>
        <v>44964</v>
      </c>
      <c r="AH156" s="29">
        <f ca="1">IF(AG156=TODAY()-1,Loan!F126,IF(AG156&gt;$AB$13,$AB$55,AH155-AI156*AF155+AI156*AF156))</f>
        <v>1.9162544169609497E-2</v>
      </c>
      <c r="AI156" s="87">
        <f t="shared" ca="1" si="158"/>
        <v>5.830388692580566E-5</v>
      </c>
      <c r="AJ156" s="76" t="str">
        <f t="shared" ca="1" si="181"/>
        <v/>
      </c>
      <c r="AK156" s="76" t="str">
        <f t="shared" ca="1" si="189"/>
        <v/>
      </c>
      <c r="AL156" s="76" t="str">
        <f t="shared" ca="1" si="159"/>
        <v/>
      </c>
      <c r="AM156" s="11">
        <f t="shared" ca="1" si="182"/>
        <v>191.62544169609498</v>
      </c>
      <c r="AN156" s="11">
        <f t="shared" ca="1" si="183"/>
        <v>607.89239440088591</v>
      </c>
      <c r="AO156" s="11">
        <f t="shared" ca="1" si="150"/>
        <v>96.306306928174763</v>
      </c>
      <c r="AP156" s="12">
        <f t="shared" ca="1" si="151"/>
        <v>0.18825044168800212</v>
      </c>
      <c r="AQ156" s="11">
        <f t="shared" ca="1" si="184"/>
        <v>529.84069951786137</v>
      </c>
      <c r="AR156" s="11">
        <f t="shared" ca="1" si="152"/>
        <v>100.11997344883736</v>
      </c>
      <c r="AS156" s="12">
        <f t="shared" ca="1" si="153"/>
        <v>0.23298846756755121</v>
      </c>
      <c r="AT156" s="11">
        <f t="shared" ca="1" si="185"/>
        <v>479.50777113572201</v>
      </c>
      <c r="AU156" s="11">
        <f t="shared" ca="1" si="154"/>
        <v>103.85864742360195</v>
      </c>
      <c r="AV156" s="12">
        <f t="shared" ca="1" si="155"/>
        <v>0.27647781098830504</v>
      </c>
      <c r="AW156" s="10">
        <f t="shared" si="186"/>
        <v>44964</v>
      </c>
      <c r="AX156" s="76">
        <f t="shared" ca="1" si="141"/>
        <v>98948.938810551466</v>
      </c>
      <c r="AY156" s="75">
        <f t="shared" ca="1" si="190"/>
        <v>17.221217371372585</v>
      </c>
      <c r="AZ156" s="75">
        <f t="shared" ca="1" si="187"/>
        <v>10.942002502128414</v>
      </c>
      <c r="BA156" s="75">
        <f t="shared" ca="1" si="142"/>
        <v>6.2792148692441714</v>
      </c>
      <c r="BB156" s="75">
        <f t="shared" ca="1" si="143"/>
        <v>98942.659595682228</v>
      </c>
      <c r="BC156" s="12"/>
      <c r="BD156" s="12"/>
    </row>
    <row r="157" spans="3:56">
      <c r="C157" s="3">
        <f t="shared" si="166"/>
        <v>13</v>
      </c>
      <c r="D157" s="3">
        <f t="shared" si="174"/>
        <v>5</v>
      </c>
      <c r="E157" s="1">
        <f t="shared" si="175"/>
        <v>2032</v>
      </c>
      <c r="F157" s="3">
        <f t="shared" si="167"/>
        <v>70</v>
      </c>
      <c r="G157" s="3">
        <f t="shared" si="176"/>
        <v>153</v>
      </c>
      <c r="H157" s="4">
        <f t="shared" si="168"/>
        <v>126174.59767026248</v>
      </c>
      <c r="L157" s="25" t="str">
        <f t="shared" ca="1" si="169"/>
        <v/>
      </c>
      <c r="M157" s="4">
        <f t="shared" si="170"/>
        <v>126174.59767026248</v>
      </c>
      <c r="N157" s="5">
        <f t="shared" si="145"/>
        <v>2.18E-2</v>
      </c>
      <c r="O157" s="6">
        <f t="shared" si="171"/>
        <v>5.0499999999999996E-2</v>
      </c>
      <c r="P157" s="4">
        <f t="shared" si="164"/>
        <v>530.98476519568783</v>
      </c>
      <c r="Q157" s="7">
        <f t="shared" si="172"/>
        <v>1147.1423660440444</v>
      </c>
      <c r="R157" s="4">
        <f t="shared" si="177"/>
        <v>616.15760084835654</v>
      </c>
      <c r="S157" s="4">
        <f t="shared" si="165"/>
        <v>125558.44006941412</v>
      </c>
      <c r="T157" s="4">
        <f t="shared" si="178"/>
        <v>0</v>
      </c>
      <c r="U157" s="4">
        <f t="shared" si="173"/>
        <v>125558.44006941412</v>
      </c>
      <c r="AE157" s="91" t="str">
        <f t="shared" ca="1" si="191"/>
        <v/>
      </c>
      <c r="AF157" s="70">
        <f t="shared" si="188"/>
        <v>44965</v>
      </c>
      <c r="AG157" s="10">
        <f t="shared" si="163"/>
        <v>44965</v>
      </c>
      <c r="AH157" s="29">
        <f ca="1">IF(AG157=TODAY()-1,Loan!F127,IF(AG157&gt;$AB$13,$AB$55,AH156-AI157*AF156+AI157*AF157))</f>
        <v>1.9220848056535456E-2</v>
      </c>
      <c r="AI157" s="87">
        <f t="shared" ca="1" si="158"/>
        <v>5.8303886925807693E-5</v>
      </c>
      <c r="AJ157" s="76" t="str">
        <f t="shared" ca="1" si="181"/>
        <v/>
      </c>
      <c r="AK157" s="76" t="str">
        <f t="shared" ca="1" si="189"/>
        <v/>
      </c>
      <c r="AL157" s="76" t="str">
        <f t="shared" ca="1" si="159"/>
        <v/>
      </c>
      <c r="AM157" s="11">
        <f t="shared" ca="1" si="182"/>
        <v>192.20848056535456</v>
      </c>
      <c r="AN157" s="11">
        <f t="shared" ca="1" si="183"/>
        <v>608.20020823576215</v>
      </c>
      <c r="AO157" s="11">
        <f t="shared" ca="1" si="150"/>
        <v>96.614120763051005</v>
      </c>
      <c r="AP157" s="12">
        <f t="shared" ca="1" si="151"/>
        <v>0.18885212700043288</v>
      </c>
      <c r="AQ157" s="11">
        <f t="shared" ca="1" si="184"/>
        <v>530.16334108987587</v>
      </c>
      <c r="AR157" s="11">
        <f t="shared" ca="1" si="152"/>
        <v>100.44261502085186</v>
      </c>
      <c r="AS157" s="12">
        <f t="shared" ca="1" si="153"/>
        <v>0.2337392844410261</v>
      </c>
      <c r="AT157" s="11">
        <f t="shared" ca="1" si="185"/>
        <v>479.84472104158948</v>
      </c>
      <c r="AU157" s="11">
        <f t="shared" ca="1" si="154"/>
        <v>104.19559732946942</v>
      </c>
      <c r="AV157" s="12">
        <f t="shared" ca="1" si="155"/>
        <v>0.27737479140060517</v>
      </c>
      <c r="AW157" s="10">
        <f t="shared" si="186"/>
        <v>44965</v>
      </c>
      <c r="AX157" s="76">
        <f t="shared" ca="1" si="141"/>
        <v>98942.659595682228</v>
      </c>
      <c r="AY157" s="75">
        <f t="shared" ca="1" si="190"/>
        <v>17.230600011026713</v>
      </c>
      <c r="AZ157" s="75">
        <f t="shared" ca="1" si="187"/>
        <v>10.957112903634469</v>
      </c>
      <c r="BA157" s="75">
        <f t="shared" ca="1" si="142"/>
        <v>6.2734871073922438</v>
      </c>
      <c r="BB157" s="75">
        <f t="shared" ca="1" si="143"/>
        <v>98936.386108574836</v>
      </c>
      <c r="BC157" s="12"/>
      <c r="BD157" s="12"/>
    </row>
    <row r="158" spans="3:56">
      <c r="C158" s="3">
        <f t="shared" si="166"/>
        <v>13</v>
      </c>
      <c r="D158" s="3">
        <f t="shared" si="174"/>
        <v>6</v>
      </c>
      <c r="E158" s="1">
        <f t="shared" si="175"/>
        <v>2032</v>
      </c>
      <c r="F158" s="3">
        <f t="shared" si="167"/>
        <v>70</v>
      </c>
      <c r="G158" s="3">
        <f t="shared" si="176"/>
        <v>154</v>
      </c>
      <c r="H158" s="4">
        <f t="shared" si="168"/>
        <v>125558.44006941412</v>
      </c>
      <c r="L158" s="25" t="str">
        <f t="shared" ca="1" si="169"/>
        <v/>
      </c>
      <c r="M158" s="4">
        <f t="shared" si="170"/>
        <v>125558.44006941412</v>
      </c>
      <c r="N158" s="5">
        <f t="shared" si="145"/>
        <v>2.18E-2</v>
      </c>
      <c r="O158" s="6">
        <f t="shared" si="171"/>
        <v>5.0499999999999996E-2</v>
      </c>
      <c r="P158" s="4">
        <f t="shared" si="164"/>
        <v>528.39176862545105</v>
      </c>
      <c r="Q158" s="7">
        <f t="shared" si="172"/>
        <v>1147.1423660440444</v>
      </c>
      <c r="R158" s="4">
        <f t="shared" si="177"/>
        <v>618.75059741859332</v>
      </c>
      <c r="S158" s="4">
        <f t="shared" si="165"/>
        <v>124939.68947199553</v>
      </c>
      <c r="T158" s="4">
        <f t="shared" si="178"/>
        <v>0</v>
      </c>
      <c r="U158" s="4">
        <f t="shared" si="173"/>
        <v>124939.68947199553</v>
      </c>
      <c r="AE158" s="91" t="str">
        <f t="shared" ca="1" si="191"/>
        <v/>
      </c>
      <c r="AF158" s="70">
        <f t="shared" si="188"/>
        <v>44966</v>
      </c>
      <c r="AG158" s="10">
        <f t="shared" si="163"/>
        <v>44966</v>
      </c>
      <c r="AH158" s="29">
        <f ca="1">IF(AG158=TODAY()-1,Loan!F128,IF(AG158&gt;$AB$13,$AB$55,AH157-AI158*AF157+AI158*AF158))</f>
        <v>1.9279151943461414E-2</v>
      </c>
      <c r="AI158" s="87">
        <f t="shared" ca="1" si="158"/>
        <v>5.8303886925806629E-5</v>
      </c>
      <c r="AJ158" s="76" t="str">
        <f t="shared" ca="1" si="181"/>
        <v/>
      </c>
      <c r="AK158" s="76" t="str">
        <f t="shared" ca="1" si="189"/>
        <v/>
      </c>
      <c r="AL158" s="76" t="str">
        <f t="shared" ca="1" si="159"/>
        <v/>
      </c>
      <c r="AM158" s="11">
        <f t="shared" ca="1" si="182"/>
        <v>192.79151943461414</v>
      </c>
      <c r="AN158" s="11">
        <f t="shared" ca="1" si="183"/>
        <v>608.50811013102248</v>
      </c>
      <c r="AO158" s="11">
        <f t="shared" ca="1" si="150"/>
        <v>96.922022658311334</v>
      </c>
      <c r="AP158" s="12">
        <f t="shared" ca="1" si="151"/>
        <v>0.18945398444495681</v>
      </c>
      <c r="AQ158" s="11">
        <f t="shared" ca="1" si="184"/>
        <v>530.48608883860288</v>
      </c>
      <c r="AR158" s="11">
        <f t="shared" ca="1" si="152"/>
        <v>100.76536276957887</v>
      </c>
      <c r="AS158" s="12">
        <f t="shared" ca="1" si="153"/>
        <v>0.2344903483975623</v>
      </c>
      <c r="AT158" s="11">
        <f t="shared" ca="1" si="185"/>
        <v>480.18179290545947</v>
      </c>
      <c r="AU158" s="11">
        <f t="shared" ca="1" si="154"/>
        <v>104.53266919333942</v>
      </c>
      <c r="AV158" s="12">
        <f t="shared" ca="1" si="155"/>
        <v>0.27827209647226109</v>
      </c>
      <c r="AW158" s="10">
        <f t="shared" si="186"/>
        <v>44966</v>
      </c>
      <c r="AX158" s="76">
        <f t="shared" ca="1" si="141"/>
        <v>98936.386108574836</v>
      </c>
      <c r="AY158" s="75">
        <f t="shared" ca="1" si="190"/>
        <v>17.239985788262036</v>
      </c>
      <c r="AZ158" s="75">
        <f t="shared" ca="1" si="187"/>
        <v>10.972221934317716</v>
      </c>
      <c r="BA158" s="75">
        <f t="shared" ca="1" si="142"/>
        <v>6.2677638539443201</v>
      </c>
      <c r="BB158" s="75">
        <f t="shared" ca="1" si="143"/>
        <v>98930.11834472089</v>
      </c>
      <c r="BC158" s="12"/>
      <c r="BD158" s="12"/>
    </row>
    <row r="159" spans="3:56">
      <c r="C159" s="3">
        <f t="shared" si="166"/>
        <v>13</v>
      </c>
      <c r="D159" s="3">
        <f t="shared" si="174"/>
        <v>7</v>
      </c>
      <c r="E159" s="1">
        <f t="shared" si="175"/>
        <v>2032</v>
      </c>
      <c r="F159" s="3">
        <f t="shared" si="167"/>
        <v>70</v>
      </c>
      <c r="G159" s="3">
        <f t="shared" si="176"/>
        <v>155</v>
      </c>
      <c r="H159" s="4">
        <f t="shared" si="168"/>
        <v>124939.68947199553</v>
      </c>
      <c r="L159" s="25" t="str">
        <f t="shared" ca="1" si="169"/>
        <v/>
      </c>
      <c r="M159" s="4">
        <f t="shared" si="170"/>
        <v>124939.68947199553</v>
      </c>
      <c r="N159" s="5">
        <f t="shared" si="145"/>
        <v>2.18E-2</v>
      </c>
      <c r="O159" s="6">
        <f t="shared" si="171"/>
        <v>5.0499999999999996E-2</v>
      </c>
      <c r="P159" s="4">
        <f t="shared" si="164"/>
        <v>525.78785986131447</v>
      </c>
      <c r="Q159" s="7">
        <f t="shared" si="172"/>
        <v>1147.1423660440446</v>
      </c>
      <c r="R159" s="4">
        <f t="shared" si="177"/>
        <v>621.35450618273012</v>
      </c>
      <c r="S159" s="4">
        <f t="shared" si="165"/>
        <v>124318.3349658128</v>
      </c>
      <c r="T159" s="4">
        <f t="shared" si="178"/>
        <v>0</v>
      </c>
      <c r="U159" s="4">
        <f t="shared" si="173"/>
        <v>124318.3349658128</v>
      </c>
      <c r="AE159" s="91" t="str">
        <f t="shared" ca="1" si="191"/>
        <v/>
      </c>
      <c r="AF159" s="70">
        <f t="shared" si="188"/>
        <v>44967</v>
      </c>
      <c r="AG159" s="10">
        <f t="shared" si="163"/>
        <v>44967</v>
      </c>
      <c r="AH159" s="29">
        <f ca="1">IF(AG159=TODAY()-1,Loan!F129,IF(AG159&gt;$AB$13,$AB$55,AH158-AI159*AF158+AI159*AF159))</f>
        <v>1.9337455830387373E-2</v>
      </c>
      <c r="AI159" s="87">
        <f t="shared" ca="1" si="158"/>
        <v>5.8303886925805545E-5</v>
      </c>
      <c r="AJ159" s="76" t="str">
        <f t="shared" ca="1" si="181"/>
        <v/>
      </c>
      <c r="AK159" s="76" t="str">
        <f t="shared" ca="1" si="189"/>
        <v/>
      </c>
      <c r="AL159" s="76" t="str">
        <f t="shared" ca="1" si="159"/>
        <v/>
      </c>
      <c r="AM159" s="11">
        <f t="shared" ca="1" si="182"/>
        <v>193.37455830387373</v>
      </c>
      <c r="AN159" s="11">
        <f t="shared" ca="1" si="183"/>
        <v>608.81610006969436</v>
      </c>
      <c r="AO159" s="11">
        <f t="shared" ca="1" si="150"/>
        <v>97.230012596983215</v>
      </c>
      <c r="AP159" s="12">
        <f t="shared" ca="1" si="151"/>
        <v>0.19005601398839767</v>
      </c>
      <c r="AQ159" s="11">
        <f t="shared" ca="1" si="184"/>
        <v>530.80894273271679</v>
      </c>
      <c r="AR159" s="11">
        <f t="shared" ca="1" si="152"/>
        <v>101.08821666369278</v>
      </c>
      <c r="AS159" s="12">
        <f t="shared" ca="1" si="153"/>
        <v>0.2352416593642622</v>
      </c>
      <c r="AT159" s="11">
        <f t="shared" ca="1" si="185"/>
        <v>480.5189866763302</v>
      </c>
      <c r="AU159" s="11">
        <f t="shared" ca="1" si="154"/>
        <v>104.86986296421014</v>
      </c>
      <c r="AV159" s="12">
        <f t="shared" ca="1" si="155"/>
        <v>0.27916972606750312</v>
      </c>
      <c r="AW159" s="10">
        <f t="shared" si="186"/>
        <v>44967</v>
      </c>
      <c r="AX159" s="76">
        <f t="shared" ca="1" si="141"/>
        <v>98930.11834472089</v>
      </c>
      <c r="AY159" s="75">
        <f t="shared" ca="1" si="190"/>
        <v>17.249374702429243</v>
      </c>
      <c r="AZ159" s="75">
        <f t="shared" ca="1" si="187"/>
        <v>10.987329596422244</v>
      </c>
      <c r="BA159" s="75">
        <f t="shared" ca="1" si="142"/>
        <v>6.2620451060069993</v>
      </c>
      <c r="BB159" s="75">
        <f t="shared" ca="1" si="143"/>
        <v>98923.856299614883</v>
      </c>
      <c r="BC159" s="12"/>
      <c r="BD159" s="12"/>
    </row>
    <row r="160" spans="3:56">
      <c r="C160" s="3">
        <f t="shared" si="166"/>
        <v>13</v>
      </c>
      <c r="D160" s="3">
        <f t="shared" si="174"/>
        <v>8</v>
      </c>
      <c r="E160" s="1">
        <f t="shared" si="175"/>
        <v>2032</v>
      </c>
      <c r="F160" s="3">
        <f t="shared" si="167"/>
        <v>70</v>
      </c>
      <c r="G160" s="3">
        <f t="shared" si="176"/>
        <v>156</v>
      </c>
      <c r="H160" s="4">
        <f t="shared" si="168"/>
        <v>124318.3349658128</v>
      </c>
      <c r="L160" s="25" t="str">
        <f t="shared" ca="1" si="169"/>
        <v/>
      </c>
      <c r="M160" s="4">
        <f t="shared" si="170"/>
        <v>124318.3349658128</v>
      </c>
      <c r="N160" s="5">
        <f t="shared" si="145"/>
        <v>2.18E-2</v>
      </c>
      <c r="O160" s="6">
        <f t="shared" si="171"/>
        <v>5.0499999999999996E-2</v>
      </c>
      <c r="P160" s="4">
        <f t="shared" si="164"/>
        <v>523.1729929811288</v>
      </c>
      <c r="Q160" s="7">
        <f t="shared" si="172"/>
        <v>1147.1423660440446</v>
      </c>
      <c r="R160" s="4">
        <f t="shared" si="177"/>
        <v>623.96937306291579</v>
      </c>
      <c r="S160" s="4">
        <f t="shared" si="165"/>
        <v>123694.36559274988</v>
      </c>
      <c r="T160" s="4">
        <f t="shared" si="178"/>
        <v>0</v>
      </c>
      <c r="U160" s="4">
        <f t="shared" si="173"/>
        <v>123694.36559274988</v>
      </c>
      <c r="AE160" s="91" t="str">
        <f t="shared" ca="1" si="191"/>
        <v/>
      </c>
      <c r="AF160" s="70">
        <f t="shared" si="188"/>
        <v>44970</v>
      </c>
      <c r="AG160" s="10">
        <f t="shared" ref="AG160" si="200">AG159+3</f>
        <v>44970</v>
      </c>
      <c r="AH160" s="29">
        <f ca="1">IF(AG160=TODAY()-1,Loan!F130,IF(AG160&gt;$AB$13,$AB$55,AH159-AI160*AF159+AI160*AF160))</f>
        <v>1.9512367491164806E-2</v>
      </c>
      <c r="AI160" s="87">
        <f t="shared" ca="1" si="158"/>
        <v>5.8303886925804454E-5</v>
      </c>
      <c r="AJ160" s="76" t="str">
        <f t="shared" ca="1" si="181"/>
        <v/>
      </c>
      <c r="AK160" s="76" t="str">
        <f t="shared" ca="1" si="189"/>
        <v/>
      </c>
      <c r="AL160" s="76" t="str">
        <f t="shared" ca="1" si="159"/>
        <v/>
      </c>
      <c r="AM160" s="11">
        <f t="shared" ca="1" si="182"/>
        <v>195.12367491164807</v>
      </c>
      <c r="AN160" s="11">
        <f t="shared" ca="1" si="183"/>
        <v>609.74059797627342</v>
      </c>
      <c r="AO160" s="11">
        <f t="shared" ca="1" si="150"/>
        <v>98.154510503562278</v>
      </c>
      <c r="AP160" s="12">
        <f t="shared" ca="1" si="151"/>
        <v>0.19186313488010559</v>
      </c>
      <c r="AQ160" s="11">
        <f t="shared" ca="1" si="184"/>
        <v>531.77814097373084</v>
      </c>
      <c r="AR160" s="11">
        <f t="shared" ca="1" si="152"/>
        <v>102.05741490470683</v>
      </c>
      <c r="AS160" s="12">
        <f t="shared" ca="1" si="153"/>
        <v>0.23749707359545377</v>
      </c>
      <c r="AT160" s="11">
        <f t="shared" ca="1" si="185"/>
        <v>481.53129892030483</v>
      </c>
      <c r="AU160" s="11">
        <f t="shared" ca="1" si="154"/>
        <v>105.88217520818478</v>
      </c>
      <c r="AV160" s="12">
        <f t="shared" ca="1" si="155"/>
        <v>0.28186456063538678</v>
      </c>
      <c r="AW160" s="10">
        <f t="shared" si="186"/>
        <v>44970</v>
      </c>
      <c r="AX160" s="76">
        <f t="shared" ca="1" si="141"/>
        <v>98923.856299614883</v>
      </c>
      <c r="AY160" s="75">
        <f t="shared" ca="1" si="190"/>
        <v>17.281927302331543</v>
      </c>
      <c r="AZ160" s="75">
        <f t="shared" ca="1" si="187"/>
        <v>11.034039428255069</v>
      </c>
      <c r="BA160" s="75">
        <f t="shared" ca="1" si="142"/>
        <v>6.2478878740764738</v>
      </c>
      <c r="BB160" s="75">
        <f t="shared" ca="1" si="143"/>
        <v>98917.608411740803</v>
      </c>
      <c r="BC160" s="12"/>
      <c r="BD160" s="12"/>
    </row>
    <row r="161" spans="3:56">
      <c r="C161" s="3">
        <f t="shared" si="166"/>
        <v>14</v>
      </c>
      <c r="D161" s="3">
        <f t="shared" si="174"/>
        <v>9</v>
      </c>
      <c r="E161" s="1">
        <f t="shared" si="175"/>
        <v>2032</v>
      </c>
      <c r="F161" s="3">
        <f t="shared" si="167"/>
        <v>70</v>
      </c>
      <c r="G161" s="3">
        <f t="shared" si="176"/>
        <v>157</v>
      </c>
      <c r="H161" s="4">
        <f t="shared" si="168"/>
        <v>123694.36559274988</v>
      </c>
      <c r="L161" s="25" t="str">
        <f t="shared" ca="1" si="169"/>
        <v/>
      </c>
      <c r="M161" s="4">
        <f t="shared" si="170"/>
        <v>123694.36559274988</v>
      </c>
      <c r="N161" s="5">
        <f t="shared" si="145"/>
        <v>2.18E-2</v>
      </c>
      <c r="O161" s="6">
        <f t="shared" si="171"/>
        <v>5.0499999999999996E-2</v>
      </c>
      <c r="P161" s="4">
        <f t="shared" si="164"/>
        <v>520.54712186948905</v>
      </c>
      <c r="Q161" s="7">
        <f t="shared" si="172"/>
        <v>1147.1423660440446</v>
      </c>
      <c r="R161" s="4">
        <f t="shared" si="177"/>
        <v>626.59524417455555</v>
      </c>
      <c r="S161" s="4">
        <f t="shared" si="165"/>
        <v>123067.77034857532</v>
      </c>
      <c r="T161" s="4">
        <f t="shared" si="178"/>
        <v>0</v>
      </c>
      <c r="U161" s="4">
        <f t="shared" si="173"/>
        <v>123067.77034857532</v>
      </c>
      <c r="AE161" s="91" t="str">
        <f t="shared" ca="1" si="191"/>
        <v/>
      </c>
      <c r="AF161" s="70">
        <f t="shared" si="188"/>
        <v>44971</v>
      </c>
      <c r="AG161" s="10">
        <f t="shared" ref="AG161" si="201">AG160+1</f>
        <v>44971</v>
      </c>
      <c r="AH161" s="29">
        <f ca="1">IF(AG161=TODAY()-1,Loan!F131,IF(AG161&gt;$AB$13,$AB$55,AH160-AI161*AF160+AI161*AF161))</f>
        <v>1.9570671378090321E-2</v>
      </c>
      <c r="AI161" s="87">
        <f t="shared" ca="1" si="158"/>
        <v>5.8303886925804312E-5</v>
      </c>
      <c r="AJ161" s="76" t="str">
        <f t="shared" ca="1" si="181"/>
        <v/>
      </c>
      <c r="AK161" s="76" t="str">
        <f t="shared" ca="1" si="189"/>
        <v/>
      </c>
      <c r="AL161" s="76" t="str">
        <f t="shared" ca="1" si="159"/>
        <v/>
      </c>
      <c r="AM161" s="11">
        <f t="shared" ca="1" si="182"/>
        <v>195.70671378090321</v>
      </c>
      <c r="AN161" s="11">
        <f t="shared" ca="1" si="183"/>
        <v>610.04893991855158</v>
      </c>
      <c r="AO161" s="11">
        <f t="shared" ca="1" si="150"/>
        <v>98.46285244584044</v>
      </c>
      <c r="AP161" s="12">
        <f t="shared" ca="1" si="151"/>
        <v>0.19246585248683606</v>
      </c>
      <c r="AQ161" s="11">
        <f t="shared" ca="1" si="184"/>
        <v>532.10141913554912</v>
      </c>
      <c r="AR161" s="11">
        <f t="shared" ca="1" si="152"/>
        <v>102.38069306652511</v>
      </c>
      <c r="AS161" s="12">
        <f t="shared" ca="1" si="153"/>
        <v>0.23824937187246628</v>
      </c>
      <c r="AT161" s="11">
        <f t="shared" ca="1" si="185"/>
        <v>481.86897980828064</v>
      </c>
      <c r="AU161" s="11">
        <f t="shared" ca="1" si="154"/>
        <v>106.21985609616058</v>
      </c>
      <c r="AV161" s="12">
        <f t="shared" ca="1" si="155"/>
        <v>0.28276348696493303</v>
      </c>
      <c r="AW161" s="10">
        <f t="shared" si="186"/>
        <v>44971</v>
      </c>
      <c r="AX161" s="76">
        <f t="shared" ca="1" si="141"/>
        <v>98917.608411740803</v>
      </c>
      <c r="AY161" s="75">
        <f t="shared" ca="1" si="190"/>
        <v>17.28914720297125</v>
      </c>
      <c r="AZ161" s="75">
        <f t="shared" ca="1" si="187"/>
        <v>11.049143304278651</v>
      </c>
      <c r="BA161" s="75">
        <f t="shared" ca="1" si="142"/>
        <v>6.2400038986925992</v>
      </c>
      <c r="BB161" s="75">
        <f t="shared" ca="1" si="143"/>
        <v>98911.368407842107</v>
      </c>
      <c r="BC161" s="12"/>
      <c r="BD161" s="12"/>
    </row>
    <row r="162" spans="3:56">
      <c r="C162" s="3">
        <f t="shared" si="166"/>
        <v>14</v>
      </c>
      <c r="D162" s="3">
        <f t="shared" si="174"/>
        <v>10</v>
      </c>
      <c r="E162" s="1">
        <f t="shared" si="175"/>
        <v>2032</v>
      </c>
      <c r="F162" s="3">
        <f t="shared" si="167"/>
        <v>70</v>
      </c>
      <c r="G162" s="3">
        <f t="shared" si="176"/>
        <v>158</v>
      </c>
      <c r="H162" s="4">
        <f t="shared" si="168"/>
        <v>123067.77034857532</v>
      </c>
      <c r="L162" s="25" t="str">
        <f t="shared" ca="1" si="169"/>
        <v/>
      </c>
      <c r="M162" s="4">
        <f t="shared" si="170"/>
        <v>123067.77034857532</v>
      </c>
      <c r="N162" s="5">
        <f t="shared" si="145"/>
        <v>2.18E-2</v>
      </c>
      <c r="O162" s="6">
        <f t="shared" si="171"/>
        <v>5.0499999999999996E-2</v>
      </c>
      <c r="P162" s="4">
        <f t="shared" si="164"/>
        <v>517.91020021692111</v>
      </c>
      <c r="Q162" s="7">
        <f t="shared" si="172"/>
        <v>1147.1423660440448</v>
      </c>
      <c r="R162" s="4">
        <f t="shared" si="177"/>
        <v>629.23216582712371</v>
      </c>
      <c r="S162" s="4">
        <f t="shared" si="165"/>
        <v>122438.53818274819</v>
      </c>
      <c r="T162" s="4">
        <f t="shared" si="178"/>
        <v>0</v>
      </c>
      <c r="U162" s="4">
        <f t="shared" si="173"/>
        <v>122438.53818274819</v>
      </c>
      <c r="AE162" s="91" t="str">
        <f t="shared" ca="1" si="191"/>
        <v/>
      </c>
      <c r="AF162" s="70">
        <f t="shared" si="188"/>
        <v>44972</v>
      </c>
      <c r="AG162" s="10">
        <f t="shared" si="163"/>
        <v>44972</v>
      </c>
      <c r="AH162" s="29">
        <f ca="1">IF(AG162=TODAY()-1,Loan!F132,IF(AG162&gt;$AB$13,$AB$55,AH161-AI162*AF161+AI162*AF162))</f>
        <v>1.9628975265015836E-2</v>
      </c>
      <c r="AI162" s="87">
        <f t="shared" ca="1" si="158"/>
        <v>5.830388692580644E-5</v>
      </c>
      <c r="AJ162" s="76" t="str">
        <f t="shared" ca="1" si="181"/>
        <v/>
      </c>
      <c r="AK162" s="76" t="str">
        <f t="shared" ca="1" si="189"/>
        <v/>
      </c>
      <c r="AL162" s="76" t="str">
        <f t="shared" ca="1" si="159"/>
        <v/>
      </c>
      <c r="AM162" s="11">
        <f t="shared" ca="1" si="182"/>
        <v>196.28975265015836</v>
      </c>
      <c r="AN162" s="11">
        <f t="shared" ca="1" si="183"/>
        <v>610.35736981914306</v>
      </c>
      <c r="AO162" s="11">
        <f t="shared" ca="1" si="150"/>
        <v>98.771282346431917</v>
      </c>
      <c r="AP162" s="12">
        <f t="shared" ca="1" si="151"/>
        <v>0.19306874202614149</v>
      </c>
      <c r="AQ162" s="11">
        <f t="shared" ca="1" si="184"/>
        <v>532.42480328568388</v>
      </c>
      <c r="AR162" s="11">
        <f t="shared" ca="1" si="152"/>
        <v>102.70407721665987</v>
      </c>
      <c r="AS162" s="12">
        <f t="shared" ca="1" si="153"/>
        <v>0.23900191679412502</v>
      </c>
      <c r="AT162" s="11">
        <f t="shared" ca="1" si="185"/>
        <v>482.20678234758873</v>
      </c>
      <c r="AU162" s="11">
        <f t="shared" ca="1" si="154"/>
        <v>106.55765863546867</v>
      </c>
      <c r="AV162" s="12">
        <f t="shared" ca="1" si="155"/>
        <v>0.28366273713746099</v>
      </c>
      <c r="AW162" s="10">
        <f t="shared" si="186"/>
        <v>44972</v>
      </c>
      <c r="AX162" s="76">
        <f t="shared" ca="1" si="141"/>
        <v>98911.368407842107</v>
      </c>
      <c r="AY162" s="75">
        <f t="shared" ca="1" si="190"/>
        <v>17.298552981347424</v>
      </c>
      <c r="AZ162" s="75">
        <f t="shared" ca="1" si="187"/>
        <v>11.064246066171657</v>
      </c>
      <c r="BA162" s="75">
        <f t="shared" ca="1" si="142"/>
        <v>6.2343069151757664</v>
      </c>
      <c r="BB162" s="75">
        <f t="shared" ca="1" si="143"/>
        <v>98905.134100926924</v>
      </c>
      <c r="BC162" s="12"/>
      <c r="BD162" s="12"/>
    </row>
    <row r="163" spans="3:56">
      <c r="C163" s="3">
        <f t="shared" si="166"/>
        <v>14</v>
      </c>
      <c r="D163" s="3">
        <f t="shared" si="174"/>
        <v>11</v>
      </c>
      <c r="E163" s="1">
        <f t="shared" si="175"/>
        <v>2032</v>
      </c>
      <c r="F163" s="3">
        <f t="shared" si="167"/>
        <v>70</v>
      </c>
      <c r="G163" s="3">
        <f t="shared" si="176"/>
        <v>159</v>
      </c>
      <c r="H163" s="4">
        <f t="shared" si="168"/>
        <v>122438.53818274819</v>
      </c>
      <c r="L163" s="25" t="str">
        <f t="shared" ca="1" si="169"/>
        <v/>
      </c>
      <c r="M163" s="4">
        <f t="shared" si="170"/>
        <v>122438.53818274819</v>
      </c>
      <c r="N163" s="5">
        <f t="shared" si="145"/>
        <v>2.18E-2</v>
      </c>
      <c r="O163" s="6">
        <f t="shared" si="171"/>
        <v>5.0499999999999996E-2</v>
      </c>
      <c r="P163" s="4">
        <f t="shared" si="164"/>
        <v>515.26218151906528</v>
      </c>
      <c r="Q163" s="7">
        <f t="shared" si="172"/>
        <v>1147.1423660440444</v>
      </c>
      <c r="R163" s="4">
        <f t="shared" si="177"/>
        <v>631.88018452497909</v>
      </c>
      <c r="S163" s="4">
        <f t="shared" si="165"/>
        <v>121806.65799822321</v>
      </c>
      <c r="T163" s="4">
        <f t="shared" si="178"/>
        <v>0</v>
      </c>
      <c r="U163" s="4">
        <f t="shared" si="173"/>
        <v>121806.65799822321</v>
      </c>
      <c r="AE163" s="91" t="str">
        <f t="shared" ca="1" si="191"/>
        <v/>
      </c>
      <c r="AF163" s="70">
        <f t="shared" si="188"/>
        <v>44973</v>
      </c>
      <c r="AG163" s="10">
        <f t="shared" si="163"/>
        <v>44973</v>
      </c>
      <c r="AH163" s="29">
        <f ca="1">IF(AG163=TODAY()-1,Loan!F133,IF(AG163&gt;$AB$13,$AB$55,AH162-AI163*AF162+AI163*AF163))</f>
        <v>1.9687279151941794E-2</v>
      </c>
      <c r="AI163" s="87">
        <f t="shared" ca="1" si="158"/>
        <v>5.8303886925808601E-5</v>
      </c>
      <c r="AJ163" s="76" t="str">
        <f t="shared" ca="1" si="181"/>
        <v/>
      </c>
      <c r="AK163" s="76" t="str">
        <f t="shared" ca="1" si="189"/>
        <v/>
      </c>
      <c r="AL163" s="76" t="str">
        <f t="shared" ca="1" si="159"/>
        <v/>
      </c>
      <c r="AM163" s="11">
        <f t="shared" ca="1" si="182"/>
        <v>196.87279151941794</v>
      </c>
      <c r="AN163" s="11">
        <f t="shared" ca="1" si="183"/>
        <v>610.66588766091343</v>
      </c>
      <c r="AO163" s="11">
        <f t="shared" ca="1" si="150"/>
        <v>99.079800188202285</v>
      </c>
      <c r="AP163" s="12">
        <f t="shared" ca="1" si="151"/>
        <v>0.19367180346452906</v>
      </c>
      <c r="AQ163" s="11">
        <f t="shared" ca="1" si="184"/>
        <v>532.74829339257906</v>
      </c>
      <c r="AR163" s="11">
        <f t="shared" ca="1" si="152"/>
        <v>103.02756732355505</v>
      </c>
      <c r="AS163" s="12">
        <f t="shared" ca="1" si="153"/>
        <v>0.23975470828699619</v>
      </c>
      <c r="AT163" s="11">
        <f t="shared" ca="1" si="185"/>
        <v>482.54470648692217</v>
      </c>
      <c r="AU163" s="11">
        <f t="shared" ca="1" si="154"/>
        <v>106.89558277480211</v>
      </c>
      <c r="AV163" s="12">
        <f t="shared" ca="1" si="155"/>
        <v>0.28456231101638851</v>
      </c>
      <c r="AW163" s="10">
        <f t="shared" si="186"/>
        <v>44973</v>
      </c>
      <c r="AX163" s="76">
        <f t="shared" ca="1" si="141"/>
        <v>98905.134100926924</v>
      </c>
      <c r="AY163" s="75">
        <f t="shared" ca="1" si="190"/>
        <v>17.307961893254539</v>
      </c>
      <c r="AZ163" s="75">
        <f t="shared" ca="1" si="187"/>
        <v>11.079347472725582</v>
      </c>
      <c r="BA163" s="75">
        <f t="shared" ca="1" si="142"/>
        <v>6.2286144205289578</v>
      </c>
      <c r="BB163" s="75">
        <f t="shared" ca="1" si="143"/>
        <v>98898.905486506395</v>
      </c>
      <c r="BC163" s="12"/>
      <c r="BD163" s="12"/>
    </row>
    <row r="164" spans="3:56">
      <c r="C164" s="3">
        <f t="shared" si="166"/>
        <v>14</v>
      </c>
      <c r="D164" s="3">
        <f t="shared" si="174"/>
        <v>12</v>
      </c>
      <c r="E164" s="1">
        <f t="shared" si="175"/>
        <v>2032</v>
      </c>
      <c r="F164" s="3">
        <f t="shared" si="167"/>
        <v>70</v>
      </c>
      <c r="G164" s="3">
        <f t="shared" si="176"/>
        <v>160</v>
      </c>
      <c r="H164" s="4">
        <f t="shared" si="168"/>
        <v>121806.65799822321</v>
      </c>
      <c r="L164" s="25" t="str">
        <f t="shared" ca="1" si="169"/>
        <v/>
      </c>
      <c r="M164" s="4">
        <f t="shared" si="170"/>
        <v>121806.65799822321</v>
      </c>
      <c r="N164" s="5">
        <f t="shared" si="145"/>
        <v>2.18E-2</v>
      </c>
      <c r="O164" s="6">
        <f t="shared" si="171"/>
        <v>5.0499999999999996E-2</v>
      </c>
      <c r="P164" s="4">
        <f t="shared" si="164"/>
        <v>512.60301907585597</v>
      </c>
      <c r="Q164" s="7">
        <f t="shared" si="172"/>
        <v>1147.1423660440446</v>
      </c>
      <c r="R164" s="4">
        <f t="shared" si="177"/>
        <v>634.53934696818862</v>
      </c>
      <c r="S164" s="4">
        <f t="shared" si="165"/>
        <v>121172.11865125502</v>
      </c>
      <c r="T164" s="4">
        <f t="shared" si="178"/>
        <v>0</v>
      </c>
      <c r="U164" s="4">
        <f t="shared" si="173"/>
        <v>121172.11865125502</v>
      </c>
      <c r="AE164" s="91" t="str">
        <f t="shared" ca="1" si="191"/>
        <v/>
      </c>
      <c r="AF164" s="70">
        <f t="shared" si="188"/>
        <v>44974</v>
      </c>
      <c r="AG164" s="10">
        <f t="shared" si="163"/>
        <v>44974</v>
      </c>
      <c r="AH164" s="29">
        <f ca="1">IF(AG164=TODAY()-1,Loan!F134,IF(AG164&gt;$AB$13,$AB$55,AH163-AI164*AF163+AI164*AF164))</f>
        <v>1.9745583038867753E-2</v>
      </c>
      <c r="AI164" s="87">
        <f t="shared" ca="1" si="158"/>
        <v>5.8303886925807476E-5</v>
      </c>
      <c r="AJ164" s="76" t="str">
        <f t="shared" ca="1" si="181"/>
        <v/>
      </c>
      <c r="AK164" s="76" t="str">
        <f t="shared" ca="1" si="189"/>
        <v/>
      </c>
      <c r="AL164" s="76" t="str">
        <f t="shared" ca="1" si="159"/>
        <v/>
      </c>
      <c r="AM164" s="11">
        <f t="shared" ca="1" si="182"/>
        <v>197.45583038867753</v>
      </c>
      <c r="AN164" s="11">
        <f t="shared" ca="1" si="183"/>
        <v>610.9744934267959</v>
      </c>
      <c r="AO164" s="11">
        <f t="shared" ca="1" si="150"/>
        <v>99.38840595408476</v>
      </c>
      <c r="AP164" s="12">
        <f t="shared" ca="1" si="151"/>
        <v>0.19427503676863828</v>
      </c>
      <c r="AQ164" s="11">
        <f t="shared" ca="1" si="184"/>
        <v>533.07188942471316</v>
      </c>
      <c r="AR164" s="11">
        <f t="shared" ca="1" si="152"/>
        <v>103.35116335568915</v>
      </c>
      <c r="AS164" s="12">
        <f t="shared" ca="1" si="153"/>
        <v>0.24050774627772631</v>
      </c>
      <c r="AT164" s="11">
        <f t="shared" ca="1" si="185"/>
        <v>482.88275217498057</v>
      </c>
      <c r="AU164" s="11">
        <f t="shared" ca="1" si="154"/>
        <v>107.23362846286051</v>
      </c>
      <c r="AV164" s="12">
        <f t="shared" ca="1" si="155"/>
        <v>0.28546220846515097</v>
      </c>
      <c r="AW164" s="10">
        <f t="shared" si="186"/>
        <v>44974</v>
      </c>
      <c r="AX164" s="76">
        <f t="shared" ca="1" si="141"/>
        <v>98898.905486506395</v>
      </c>
      <c r="AY164" s="75">
        <f t="shared" ca="1" si="190"/>
        <v>17.317373938080667</v>
      </c>
      <c r="AZ164" s="75">
        <f t="shared" ca="1" si="187"/>
        <v>11.0944475261668</v>
      </c>
      <c r="BA164" s="75">
        <f t="shared" ca="1" si="142"/>
        <v>6.2229264119138676</v>
      </c>
      <c r="BB164" s="75">
        <f t="shared" ca="1" si="143"/>
        <v>98892.682560094487</v>
      </c>
      <c r="BC164" s="12"/>
      <c r="BD164" s="12"/>
    </row>
    <row r="165" spans="3:56">
      <c r="C165" s="3">
        <f t="shared" si="166"/>
        <v>14</v>
      </c>
      <c r="D165" s="3">
        <f t="shared" si="174"/>
        <v>1</v>
      </c>
      <c r="E165" s="1">
        <f t="shared" si="175"/>
        <v>2033</v>
      </c>
      <c r="F165" s="3">
        <f t="shared" si="167"/>
        <v>70</v>
      </c>
      <c r="G165" s="3">
        <f t="shared" si="176"/>
        <v>161</v>
      </c>
      <c r="H165" s="4">
        <f t="shared" si="168"/>
        <v>121172.11865125502</v>
      </c>
      <c r="L165" s="25" t="str">
        <f t="shared" ca="1" si="169"/>
        <v/>
      </c>
      <c r="M165" s="4">
        <f t="shared" si="170"/>
        <v>121172.11865125502</v>
      </c>
      <c r="N165" s="5">
        <f t="shared" si="145"/>
        <v>2.18E-2</v>
      </c>
      <c r="O165" s="6">
        <f t="shared" si="171"/>
        <v>5.0499999999999996E-2</v>
      </c>
      <c r="P165" s="4">
        <f t="shared" si="164"/>
        <v>509.93266599069813</v>
      </c>
      <c r="Q165" s="7">
        <f t="shared" si="172"/>
        <v>1147.1423660440448</v>
      </c>
      <c r="R165" s="4">
        <f t="shared" si="177"/>
        <v>637.20970005334675</v>
      </c>
      <c r="S165" s="4">
        <f t="shared" si="165"/>
        <v>120534.90895120168</v>
      </c>
      <c r="T165" s="4">
        <f t="shared" si="178"/>
        <v>0</v>
      </c>
      <c r="U165" s="4">
        <f t="shared" si="173"/>
        <v>120534.90895120168</v>
      </c>
      <c r="AE165" s="91" t="str">
        <f t="shared" ca="1" si="191"/>
        <v/>
      </c>
      <c r="AF165" s="70">
        <f t="shared" si="188"/>
        <v>44977</v>
      </c>
      <c r="AG165" s="10">
        <f t="shared" ref="AG165" si="202">AG164+3</f>
        <v>44977</v>
      </c>
      <c r="AH165" s="29">
        <f ca="1">IF(AG165=TODAY()-1,Loan!F135,IF(AG165&gt;$AB$13,$AB$55,AH164-AI165*AF164+AI165*AF165))</f>
        <v>1.9920494699645186E-2</v>
      </c>
      <c r="AI165" s="87">
        <f t="shared" ca="1" si="158"/>
        <v>5.8303886925806338E-5</v>
      </c>
      <c r="AJ165" s="76" t="str">
        <f t="shared" ca="1" si="181"/>
        <v/>
      </c>
      <c r="AK165" s="76" t="str">
        <f t="shared" ca="1" si="189"/>
        <v/>
      </c>
      <c r="AL165" s="76" t="str">
        <f t="shared" ca="1" si="159"/>
        <v/>
      </c>
      <c r="AM165" s="11">
        <f t="shared" ca="1" si="182"/>
        <v>199.20494699645187</v>
      </c>
      <c r="AN165" s="11">
        <f t="shared" ca="1" si="183"/>
        <v>611.90083809776286</v>
      </c>
      <c r="AO165" s="11">
        <f t="shared" ca="1" si="150"/>
        <v>100.31475062505172</v>
      </c>
      <c r="AP165" s="12">
        <f t="shared" ca="1" si="151"/>
        <v>0.19608576754035101</v>
      </c>
      <c r="AQ165" s="11">
        <f t="shared" ca="1" si="184"/>
        <v>534.04331275654226</v>
      </c>
      <c r="AR165" s="11">
        <f t="shared" ca="1" si="152"/>
        <v>104.32258668751825</v>
      </c>
      <c r="AS165" s="12">
        <f t="shared" ca="1" si="153"/>
        <v>0.24276833850169333</v>
      </c>
      <c r="AT165" s="11">
        <f t="shared" ca="1" si="185"/>
        <v>483.89761801757578</v>
      </c>
      <c r="AU165" s="11">
        <f t="shared" ca="1" si="154"/>
        <v>108.24849430545572</v>
      </c>
      <c r="AV165" s="12">
        <f t="shared" ca="1" si="155"/>
        <v>0.28816384086233704</v>
      </c>
      <c r="AW165" s="10">
        <f t="shared" si="186"/>
        <v>44977</v>
      </c>
      <c r="AX165" s="76">
        <f t="shared" ca="1" si="141"/>
        <v>98892.682560094487</v>
      </c>
      <c r="AY165" s="75">
        <f t="shared" ca="1" si="190"/>
        <v>17.349987082493087</v>
      </c>
      <c r="AZ165" s="75">
        <f t="shared" ca="1" si="187"/>
        <v>11.141139805605642</v>
      </c>
      <c r="BA165" s="75">
        <f t="shared" ca="1" si="142"/>
        <v>6.208847276887445</v>
      </c>
      <c r="BB165" s="75">
        <f t="shared" ca="1" si="143"/>
        <v>98886.473712817606</v>
      </c>
      <c r="BC165" s="12"/>
      <c r="BD165" s="12"/>
    </row>
    <row r="166" spans="3:56">
      <c r="C166" s="3">
        <f t="shared" si="166"/>
        <v>14</v>
      </c>
      <c r="D166" s="3">
        <f t="shared" si="174"/>
        <v>2</v>
      </c>
      <c r="E166" s="1">
        <f t="shared" si="175"/>
        <v>2033</v>
      </c>
      <c r="F166" s="3">
        <f t="shared" si="167"/>
        <v>71</v>
      </c>
      <c r="G166" s="3">
        <f t="shared" si="176"/>
        <v>162</v>
      </c>
      <c r="H166" s="4">
        <f t="shared" ref="H166:H201" si="203">IF(C166&gt;$B$6,0,S165)</f>
        <v>120534.90895120168</v>
      </c>
      <c r="L166" s="25" t="str">
        <f t="shared" ca="1" si="169"/>
        <v/>
      </c>
      <c r="M166" s="4">
        <f t="shared" si="170"/>
        <v>120534.90895120168</v>
      </c>
      <c r="N166" s="5">
        <f t="shared" si="145"/>
        <v>2.18E-2</v>
      </c>
      <c r="O166" s="6">
        <f t="shared" si="171"/>
        <v>5.0499999999999996E-2</v>
      </c>
      <c r="P166" s="4">
        <f t="shared" si="164"/>
        <v>507.25107516964039</v>
      </c>
      <c r="Q166" s="7">
        <f t="shared" si="172"/>
        <v>1147.1423660440453</v>
      </c>
      <c r="R166" s="4">
        <f t="shared" si="177"/>
        <v>639.89129087440483</v>
      </c>
      <c r="S166" s="4">
        <f t="shared" si="165"/>
        <v>119895.01766032727</v>
      </c>
      <c r="T166" s="4">
        <f t="shared" si="178"/>
        <v>0</v>
      </c>
      <c r="U166" s="4">
        <f t="shared" si="173"/>
        <v>119895.01766032727</v>
      </c>
      <c r="AE166" s="91" t="str">
        <f t="shared" ca="1" si="191"/>
        <v/>
      </c>
      <c r="AF166" s="70">
        <f t="shared" si="188"/>
        <v>44978</v>
      </c>
      <c r="AG166" s="10">
        <f t="shared" ref="AG166" si="204">AG165+1</f>
        <v>44978</v>
      </c>
      <c r="AH166" s="29">
        <f ca="1">IF(AG166=TODAY()-1,Loan!F136,IF(AG166&gt;$AB$13,$AB$55,AH165-AI166*AF165+AI166*AF166))</f>
        <v>1.9978798586571145E-2</v>
      </c>
      <c r="AI166" s="87">
        <f t="shared" ca="1" si="158"/>
        <v>5.8303886925806236E-5</v>
      </c>
      <c r="AJ166" s="76" t="str">
        <f t="shared" ca="1" si="181"/>
        <v/>
      </c>
      <c r="AK166" s="76" t="str">
        <f t="shared" ca="1" si="189"/>
        <v/>
      </c>
      <c r="AL166" s="76" t="str">
        <f t="shared" ca="1" si="159"/>
        <v/>
      </c>
      <c r="AM166" s="11">
        <f t="shared" ca="1" si="182"/>
        <v>199.78798586571145</v>
      </c>
      <c r="AN166" s="11">
        <f t="shared" ca="1" si="183"/>
        <v>612.209795388624</v>
      </c>
      <c r="AO166" s="11">
        <f t="shared" ca="1" si="150"/>
        <v>100.62370791591286</v>
      </c>
      <c r="AP166" s="12">
        <f t="shared" ca="1" si="151"/>
        <v>0.19668968797217398</v>
      </c>
      <c r="AQ166" s="11">
        <f t="shared" ca="1" si="184"/>
        <v>534.3673321734484</v>
      </c>
      <c r="AR166" s="11">
        <f t="shared" ca="1" si="152"/>
        <v>104.64660610442439</v>
      </c>
      <c r="AS166" s="12">
        <f t="shared" ca="1" si="153"/>
        <v>0.24352236174807054</v>
      </c>
      <c r="AT166" s="11">
        <f t="shared" ca="1" si="185"/>
        <v>484.23614938636376</v>
      </c>
      <c r="AU166" s="11">
        <f t="shared" ca="1" si="154"/>
        <v>108.5870256742437</v>
      </c>
      <c r="AV166" s="12">
        <f t="shared" ca="1" si="155"/>
        <v>0.28906503122168797</v>
      </c>
      <c r="AW166" s="10">
        <f t="shared" si="186"/>
        <v>44978</v>
      </c>
      <c r="AX166" s="76">
        <f t="shared" ca="1" si="141"/>
        <v>98886.473712817606</v>
      </c>
      <c r="AY166" s="75">
        <f t="shared" ca="1" si="190"/>
        <v>17.357234504055835</v>
      </c>
      <c r="AZ166" s="75">
        <f t="shared" ca="1" si="187"/>
        <v>11.156236120428435</v>
      </c>
      <c r="BA166" s="75">
        <f t="shared" ca="1" si="142"/>
        <v>6.2009983836274003</v>
      </c>
      <c r="BB166" s="75">
        <f t="shared" ca="1" si="143"/>
        <v>98880.272714433973</v>
      </c>
      <c r="BC166" s="12"/>
      <c r="BD166" s="12"/>
    </row>
    <row r="167" spans="3:56">
      <c r="C167" s="3">
        <f t="shared" si="166"/>
        <v>14</v>
      </c>
      <c r="D167" s="3">
        <f t="shared" si="174"/>
        <v>3</v>
      </c>
      <c r="E167" s="1">
        <f t="shared" si="175"/>
        <v>2033</v>
      </c>
      <c r="F167" s="3">
        <f t="shared" si="167"/>
        <v>71</v>
      </c>
      <c r="G167" s="3">
        <f t="shared" si="176"/>
        <v>163</v>
      </c>
      <c r="H167" s="4">
        <f t="shared" si="203"/>
        <v>119895.01766032727</v>
      </c>
      <c r="L167" s="25" t="str">
        <f t="shared" ca="1" si="169"/>
        <v/>
      </c>
      <c r="M167" s="4">
        <f t="shared" si="170"/>
        <v>119895.01766032727</v>
      </c>
      <c r="N167" s="5">
        <f t="shared" si="145"/>
        <v>2.18E-2</v>
      </c>
      <c r="O167" s="6">
        <f t="shared" si="171"/>
        <v>5.0499999999999996E-2</v>
      </c>
      <c r="P167" s="4">
        <f t="shared" si="164"/>
        <v>504.55819932054391</v>
      </c>
      <c r="Q167" s="7">
        <f t="shared" si="172"/>
        <v>1147.1423660440448</v>
      </c>
      <c r="R167" s="4">
        <f t="shared" si="177"/>
        <v>642.58416672350086</v>
      </c>
      <c r="S167" s="4">
        <f t="shared" si="165"/>
        <v>119252.43349360376</v>
      </c>
      <c r="T167" s="4">
        <f t="shared" si="178"/>
        <v>0</v>
      </c>
      <c r="U167" s="4">
        <f t="shared" si="173"/>
        <v>119252.43349360376</v>
      </c>
      <c r="AE167" s="91" t="str">
        <f t="shared" ca="1" si="191"/>
        <v/>
      </c>
      <c r="AF167" s="70">
        <f t="shared" si="188"/>
        <v>44979</v>
      </c>
      <c r="AG167" s="10">
        <f t="shared" si="163"/>
        <v>44979</v>
      </c>
      <c r="AH167" s="29">
        <f ca="1">IF(AG167=TODAY()-1,Loan!F137,IF(AG167&gt;$AB$13,$AB$55,AH166-AI167*AF166+AI167*AF167))</f>
        <v>2.003710247349666E-2</v>
      </c>
      <c r="AI167" s="87">
        <f t="shared" ca="1" si="158"/>
        <v>5.8303886925805051E-5</v>
      </c>
      <c r="AJ167" s="76" t="str">
        <f t="shared" ca="1" si="181"/>
        <v/>
      </c>
      <c r="AK167" s="76" t="str">
        <f t="shared" ca="1" si="189"/>
        <v/>
      </c>
      <c r="AL167" s="76" t="str">
        <f t="shared" ca="1" si="159"/>
        <v/>
      </c>
      <c r="AM167" s="11">
        <f t="shared" ca="1" si="182"/>
        <v>200.3710247349666</v>
      </c>
      <c r="AN167" s="11">
        <f t="shared" ca="1" si="183"/>
        <v>612.51884051779086</v>
      </c>
      <c r="AO167" s="11">
        <f t="shared" ca="1" si="150"/>
        <v>100.93275304507972</v>
      </c>
      <c r="AP167" s="12">
        <f t="shared" ca="1" si="151"/>
        <v>0.19729378010199239</v>
      </c>
      <c r="AQ167" s="11">
        <f t="shared" ca="1" si="184"/>
        <v>534.69145735735833</v>
      </c>
      <c r="AR167" s="11">
        <f t="shared" ca="1" si="152"/>
        <v>104.97073128833432</v>
      </c>
      <c r="AS167" s="12">
        <f t="shared" ca="1" si="153"/>
        <v>0.24427663112407888</v>
      </c>
      <c r="AT167" s="11">
        <f t="shared" ca="1" si="185"/>
        <v>484.5748020465777</v>
      </c>
      <c r="AU167" s="11">
        <f t="shared" ca="1" si="154"/>
        <v>108.92567833445764</v>
      </c>
      <c r="AV167" s="12">
        <f t="shared" ca="1" si="155"/>
        <v>0.28996654446592879</v>
      </c>
      <c r="AW167" s="10">
        <f t="shared" si="186"/>
        <v>44979</v>
      </c>
      <c r="AX167" s="76">
        <f t="shared" ca="1" si="141"/>
        <v>98880.272714433973</v>
      </c>
      <c r="AY167" s="75">
        <f t="shared" ca="1" si="190"/>
        <v>17.36666338861135</v>
      </c>
      <c r="AZ167" s="75">
        <f t="shared" ca="1" si="187"/>
        <v>11.17133133844496</v>
      </c>
      <c r="BA167" s="75">
        <f t="shared" ca="1" si="142"/>
        <v>6.1953320501663907</v>
      </c>
      <c r="BB167" s="75">
        <f t="shared" ca="1" si="143"/>
        <v>98874.07738238381</v>
      </c>
      <c r="BC167" s="12"/>
      <c r="BD167" s="12"/>
    </row>
    <row r="168" spans="3:56">
      <c r="C168" s="3">
        <f t="shared" si="166"/>
        <v>14</v>
      </c>
      <c r="D168" s="3">
        <f t="shared" si="174"/>
        <v>4</v>
      </c>
      <c r="E168" s="1">
        <f t="shared" si="175"/>
        <v>2033</v>
      </c>
      <c r="F168" s="3">
        <f t="shared" si="167"/>
        <v>71</v>
      </c>
      <c r="G168" s="3">
        <f t="shared" si="176"/>
        <v>164</v>
      </c>
      <c r="H168" s="4">
        <f t="shared" si="203"/>
        <v>119252.43349360376</v>
      </c>
      <c r="L168" s="25" t="str">
        <f t="shared" ca="1" si="169"/>
        <v/>
      </c>
      <c r="M168" s="4">
        <f t="shared" si="170"/>
        <v>119252.43349360376</v>
      </c>
      <c r="N168" s="5">
        <f t="shared" si="145"/>
        <v>2.18E-2</v>
      </c>
      <c r="O168" s="6">
        <f t="shared" si="171"/>
        <v>5.0499999999999996E-2</v>
      </c>
      <c r="P168" s="4">
        <f t="shared" si="164"/>
        <v>501.85399095224915</v>
      </c>
      <c r="Q168" s="7">
        <f t="shared" si="172"/>
        <v>1147.1423660440453</v>
      </c>
      <c r="R168" s="4">
        <f t="shared" si="177"/>
        <v>645.28837509179607</v>
      </c>
      <c r="S168" s="4">
        <f t="shared" si="165"/>
        <v>118607.14511851197</v>
      </c>
      <c r="T168" s="4">
        <f t="shared" si="178"/>
        <v>0</v>
      </c>
      <c r="U168" s="4">
        <f t="shared" si="173"/>
        <v>118607.14511851197</v>
      </c>
      <c r="AE168" s="91" t="str">
        <f t="shared" ca="1" si="191"/>
        <v/>
      </c>
      <c r="AF168" s="70">
        <f t="shared" si="188"/>
        <v>44980</v>
      </c>
      <c r="AG168" s="10">
        <f t="shared" si="163"/>
        <v>44980</v>
      </c>
      <c r="AH168" s="29">
        <f ca="1">IF(AG168=TODAY()-1,Loan!F138,IF(AG168&gt;$AB$13,$AB$55,AH167-AI168*AF167+AI168*AF168))</f>
        <v>2.0095406360422619E-2</v>
      </c>
      <c r="AI168" s="87">
        <f t="shared" ca="1" si="158"/>
        <v>5.8303886925807321E-5</v>
      </c>
      <c r="AJ168" s="76" t="str">
        <f t="shared" ca="1" si="181"/>
        <v/>
      </c>
      <c r="AK168" s="76" t="str">
        <f t="shared" ca="1" si="189"/>
        <v/>
      </c>
      <c r="AL168" s="76" t="str">
        <f t="shared" ca="1" si="159"/>
        <v/>
      </c>
      <c r="AM168" s="11">
        <f t="shared" ca="1" si="182"/>
        <v>200.95406360422618</v>
      </c>
      <c r="AN168" s="11">
        <f t="shared" ca="1" si="183"/>
        <v>612.82797346803693</v>
      </c>
      <c r="AO168" s="11">
        <f t="shared" ca="1" si="150"/>
        <v>101.24188599532579</v>
      </c>
      <c r="AP168" s="12">
        <f t="shared" ca="1" si="151"/>
        <v>0.19789804389613352</v>
      </c>
      <c r="AQ168" s="11">
        <f t="shared" ca="1" si="184"/>
        <v>535.01568827652409</v>
      </c>
      <c r="AR168" s="11">
        <f t="shared" ca="1" si="152"/>
        <v>105.29496220750008</v>
      </c>
      <c r="AS168" s="12">
        <f t="shared" ca="1" si="153"/>
        <v>0.24503114655583785</v>
      </c>
      <c r="AT168" s="11">
        <f t="shared" ca="1" si="185"/>
        <v>484.91357594661895</v>
      </c>
      <c r="AU168" s="11">
        <f t="shared" ca="1" si="154"/>
        <v>109.26445223449889</v>
      </c>
      <c r="AV168" s="12">
        <f t="shared" ca="1" si="155"/>
        <v>0.29086838045770091</v>
      </c>
      <c r="AW168" s="10">
        <f t="shared" si="186"/>
        <v>44980</v>
      </c>
      <c r="AX168" s="76">
        <f t="shared" ca="1" si="141"/>
        <v>98874.07738238381</v>
      </c>
      <c r="AY168" s="75">
        <f t="shared" ca="1" si="190"/>
        <v>17.376095402599287</v>
      </c>
      <c r="AZ168" s="75">
        <f t="shared" ca="1" si="187"/>
        <v>11.186425216486057</v>
      </c>
      <c r="BA168" s="75">
        <f t="shared" ca="1" si="142"/>
        <v>6.1896701861132293</v>
      </c>
      <c r="BB168" s="75">
        <f t="shared" ca="1" si="143"/>
        <v>98867.887712197698</v>
      </c>
      <c r="BC168" s="12"/>
      <c r="BD168" s="12"/>
    </row>
    <row r="169" spans="3:56">
      <c r="C169" s="3">
        <f t="shared" si="166"/>
        <v>14</v>
      </c>
      <c r="D169" s="3">
        <f t="shared" si="174"/>
        <v>5</v>
      </c>
      <c r="E169" s="1">
        <f t="shared" si="175"/>
        <v>2033</v>
      </c>
      <c r="F169" s="3">
        <f t="shared" si="167"/>
        <v>71</v>
      </c>
      <c r="G169" s="3">
        <f t="shared" si="176"/>
        <v>165</v>
      </c>
      <c r="H169" s="4">
        <f t="shared" si="203"/>
        <v>118607.14511851197</v>
      </c>
      <c r="L169" s="25" t="str">
        <f t="shared" ca="1" si="169"/>
        <v/>
      </c>
      <c r="M169" s="4">
        <f t="shared" si="170"/>
        <v>118607.14511851197</v>
      </c>
      <c r="N169" s="5">
        <f t="shared" si="145"/>
        <v>2.18E-2</v>
      </c>
      <c r="O169" s="6">
        <f t="shared" si="171"/>
        <v>5.0499999999999996E-2</v>
      </c>
      <c r="P169" s="4">
        <f t="shared" si="164"/>
        <v>499.13840237373779</v>
      </c>
      <c r="Q169" s="7">
        <f t="shared" si="172"/>
        <v>1147.142366044045</v>
      </c>
      <c r="R169" s="4">
        <f t="shared" si="177"/>
        <v>648.00396367030726</v>
      </c>
      <c r="S169" s="4">
        <f t="shared" si="165"/>
        <v>117959.14115484167</v>
      </c>
      <c r="T169" s="4">
        <f t="shared" si="178"/>
        <v>0</v>
      </c>
      <c r="U169" s="4">
        <f t="shared" si="173"/>
        <v>117959.14115484167</v>
      </c>
      <c r="AE169" s="91" t="str">
        <f t="shared" ca="1" si="191"/>
        <v/>
      </c>
      <c r="AF169" s="70">
        <f t="shared" si="188"/>
        <v>44981</v>
      </c>
      <c r="AG169" s="10">
        <f t="shared" si="163"/>
        <v>44981</v>
      </c>
      <c r="AH169" s="29">
        <f ca="1">IF(AG169=TODAY()-1,Loan!F139,IF(AG169&gt;$AB$13,$AB$55,AH168-AI169*AF168+AI169*AF169))</f>
        <v>2.0153710247348577E-2</v>
      </c>
      <c r="AI169" s="87">
        <f t="shared" ca="1" si="158"/>
        <v>5.8303886925806128E-5</v>
      </c>
      <c r="AJ169" s="76" t="str">
        <f t="shared" ca="1" si="181"/>
        <v/>
      </c>
      <c r="AK169" s="76" t="str">
        <f t="shared" ca="1" si="189"/>
        <v/>
      </c>
      <c r="AL169" s="76" t="str">
        <f t="shared" ca="1" si="159"/>
        <v/>
      </c>
      <c r="AM169" s="11">
        <f t="shared" ca="1" si="182"/>
        <v>201.53710247348579</v>
      </c>
      <c r="AN169" s="11">
        <f t="shared" ca="1" si="183"/>
        <v>613.13719422211341</v>
      </c>
      <c r="AO169" s="11">
        <f t="shared" ca="1" si="150"/>
        <v>101.55110674940227</v>
      </c>
      <c r="AP169" s="12">
        <f t="shared" ca="1" si="151"/>
        <v>0.198502479320881</v>
      </c>
      <c r="AQ169" s="11">
        <f t="shared" ca="1" si="184"/>
        <v>535.3400248991602</v>
      </c>
      <c r="AR169" s="11">
        <f t="shared" ca="1" si="152"/>
        <v>105.61929883013619</v>
      </c>
      <c r="AS169" s="12">
        <f t="shared" ca="1" si="153"/>
        <v>0.24578590796937977</v>
      </c>
      <c r="AT169" s="11">
        <f t="shared" ca="1" si="185"/>
        <v>485.25247103483827</v>
      </c>
      <c r="AU169" s="11">
        <f t="shared" ca="1" si="154"/>
        <v>109.60334732271821</v>
      </c>
      <c r="AV169" s="12">
        <f t="shared" ca="1" si="155"/>
        <v>0.291770539059511</v>
      </c>
      <c r="AW169" s="10">
        <f t="shared" si="186"/>
        <v>44981</v>
      </c>
      <c r="AX169" s="76">
        <f t="shared" ref="AX169:AX232" ca="1" si="205">BB168</f>
        <v>98867.887712197698</v>
      </c>
      <c r="AY169" s="75">
        <f t="shared" ca="1" si="190"/>
        <v>17.385530545386505</v>
      </c>
      <c r="AZ169" s="75">
        <f t="shared" ca="1" si="187"/>
        <v>11.2015177567606</v>
      </c>
      <c r="BA169" s="75">
        <f t="shared" ref="BA169:BA232" ca="1" si="206">AY169-AZ169</f>
        <v>6.1840127886259051</v>
      </c>
      <c r="BB169" s="75">
        <f t="shared" ref="BB169:BB232" ca="1" si="207">AX169-BA169</f>
        <v>98861.703699409074</v>
      </c>
      <c r="BC169" s="12"/>
      <c r="BD169" s="12"/>
    </row>
    <row r="170" spans="3:56">
      <c r="C170" s="3">
        <f t="shared" si="166"/>
        <v>14</v>
      </c>
      <c r="D170" s="3">
        <f t="shared" si="174"/>
        <v>6</v>
      </c>
      <c r="E170" s="1">
        <f t="shared" si="175"/>
        <v>2033</v>
      </c>
      <c r="F170" s="3">
        <f t="shared" si="167"/>
        <v>71</v>
      </c>
      <c r="G170" s="3">
        <f t="shared" si="176"/>
        <v>166</v>
      </c>
      <c r="H170" s="4">
        <f t="shared" si="203"/>
        <v>117959.14115484167</v>
      </c>
      <c r="L170" s="25" t="str">
        <f t="shared" ca="1" si="169"/>
        <v/>
      </c>
      <c r="M170" s="4">
        <f t="shared" si="170"/>
        <v>117959.14115484167</v>
      </c>
      <c r="N170" s="5">
        <f t="shared" si="145"/>
        <v>2.18E-2</v>
      </c>
      <c r="O170" s="6">
        <f t="shared" si="171"/>
        <v>5.0499999999999996E-2</v>
      </c>
      <c r="P170" s="4">
        <f t="shared" si="164"/>
        <v>496.411385693292</v>
      </c>
      <c r="Q170" s="7">
        <f t="shared" si="172"/>
        <v>1147.1423660440455</v>
      </c>
      <c r="R170" s="4">
        <f t="shared" si="177"/>
        <v>650.7309803507535</v>
      </c>
      <c r="S170" s="4">
        <f t="shared" si="165"/>
        <v>117308.41017449091</v>
      </c>
      <c r="T170" s="4">
        <f t="shared" si="178"/>
        <v>0</v>
      </c>
      <c r="U170" s="4">
        <f t="shared" si="173"/>
        <v>117308.41017449091</v>
      </c>
      <c r="AE170" s="91" t="str">
        <f t="shared" ca="1" si="191"/>
        <v/>
      </c>
      <c r="AF170" s="70">
        <f t="shared" si="188"/>
        <v>44984</v>
      </c>
      <c r="AG170" s="10">
        <f t="shared" ref="AG170" si="208">AG169+3</f>
        <v>44984</v>
      </c>
      <c r="AH170" s="29">
        <f ca="1">IF(AG170=TODAY()-1,Loan!F140,IF(AG170&gt;$AB$13,$AB$55,AH169-AI170*AF169+AI170*AF170))</f>
        <v>2.032862190812601E-2</v>
      </c>
      <c r="AI170" s="87">
        <f t="shared" ca="1" si="158"/>
        <v>5.8303886925804915E-5</v>
      </c>
      <c r="AJ170" s="76" t="str">
        <f t="shared" ca="1" si="181"/>
        <v/>
      </c>
      <c r="AK170" s="76" t="str">
        <f t="shared" ca="1" si="189"/>
        <v/>
      </c>
      <c r="AL170" s="76" t="str">
        <f t="shared" ca="1" si="159"/>
        <v/>
      </c>
      <c r="AM170" s="11">
        <f t="shared" ca="1" si="182"/>
        <v>203.2862190812601</v>
      </c>
      <c r="AN170" s="11">
        <f t="shared" ca="1" si="183"/>
        <v>614.06538313470389</v>
      </c>
      <c r="AO170" s="11">
        <f t="shared" ca="1" si="150"/>
        <v>102.47929566199275</v>
      </c>
      <c r="AP170" s="12">
        <f t="shared" ca="1" si="151"/>
        <v>0.20031681504133783</v>
      </c>
      <c r="AQ170" s="11">
        <f t="shared" ca="1" si="184"/>
        <v>536.31366866968676</v>
      </c>
      <c r="AR170" s="11">
        <f t="shared" ca="1" si="152"/>
        <v>106.59294260066275</v>
      </c>
      <c r="AS170" s="12">
        <f t="shared" ca="1" si="153"/>
        <v>0.248051667360213</v>
      </c>
      <c r="AT170" s="11">
        <f t="shared" ca="1" si="185"/>
        <v>486.26988291150064</v>
      </c>
      <c r="AU170" s="11">
        <f t="shared" ca="1" si="154"/>
        <v>110.62075919938059</v>
      </c>
      <c r="AV170" s="12">
        <f t="shared" ca="1" si="155"/>
        <v>0.29447894914871453</v>
      </c>
      <c r="AW170" s="10">
        <f t="shared" si="186"/>
        <v>44984</v>
      </c>
      <c r="AX170" s="76">
        <f t="shared" ca="1" si="205"/>
        <v>98861.703699409074</v>
      </c>
      <c r="AY170" s="75">
        <f t="shared" ca="1" si="190"/>
        <v>17.418204090436802</v>
      </c>
      <c r="AZ170" s="75">
        <f t="shared" ca="1" si="187"/>
        <v>11.248192641440937</v>
      </c>
      <c r="BA170" s="75">
        <f t="shared" ca="1" si="206"/>
        <v>6.1700114489958651</v>
      </c>
      <c r="BB170" s="75">
        <f t="shared" ca="1" si="207"/>
        <v>98855.53368796008</v>
      </c>
      <c r="BC170" s="12"/>
      <c r="BD170" s="12"/>
    </row>
    <row r="171" spans="3:56">
      <c r="C171" s="3">
        <f t="shared" si="166"/>
        <v>14</v>
      </c>
      <c r="D171" s="3">
        <f t="shared" si="174"/>
        <v>7</v>
      </c>
      <c r="E171" s="1">
        <f t="shared" si="175"/>
        <v>2033</v>
      </c>
      <c r="F171" s="3">
        <f t="shared" si="167"/>
        <v>71</v>
      </c>
      <c r="G171" s="3">
        <f t="shared" si="176"/>
        <v>167</v>
      </c>
      <c r="H171" s="4">
        <f t="shared" si="203"/>
        <v>117308.41017449091</v>
      </c>
      <c r="L171" s="25" t="str">
        <f t="shared" ca="1" si="169"/>
        <v/>
      </c>
      <c r="M171" s="4">
        <f t="shared" si="170"/>
        <v>117308.41017449091</v>
      </c>
      <c r="N171" s="5">
        <f t="shared" si="145"/>
        <v>2.18E-2</v>
      </c>
      <c r="O171" s="6">
        <f t="shared" si="171"/>
        <v>5.0499999999999996E-2</v>
      </c>
      <c r="P171" s="4">
        <f t="shared" si="164"/>
        <v>493.6728928176492</v>
      </c>
      <c r="Q171" s="7">
        <f t="shared" si="172"/>
        <v>1147.1423660440455</v>
      </c>
      <c r="R171" s="4">
        <f t="shared" si="177"/>
        <v>653.4694732263963</v>
      </c>
      <c r="S171" s="4">
        <f t="shared" si="165"/>
        <v>116654.94070126451</v>
      </c>
      <c r="T171" s="4">
        <f t="shared" si="178"/>
        <v>0</v>
      </c>
      <c r="U171" s="4">
        <f t="shared" si="173"/>
        <v>116654.94070126451</v>
      </c>
      <c r="AE171" s="91" t="str">
        <f t="shared" ca="1" si="191"/>
        <v/>
      </c>
      <c r="AF171" s="70">
        <f t="shared" si="188"/>
        <v>44985</v>
      </c>
      <c r="AG171" s="10">
        <f t="shared" ref="AG171" si="209">AG170+1</f>
        <v>44985</v>
      </c>
      <c r="AH171" s="29">
        <f ca="1">IF(AG171=TODAY()-1,Loan!F141,IF(AG171&gt;$AB$13,$AB$55,AH170-AI171*AF170+AI171*AF171))</f>
        <v>2.0386925795051969E-2</v>
      </c>
      <c r="AI171" s="87">
        <f t="shared" ca="1" si="158"/>
        <v>5.8303886925804773E-5</v>
      </c>
      <c r="AJ171" s="76" t="str">
        <f t="shared" ca="1" si="181"/>
        <v/>
      </c>
      <c r="AK171" s="76" t="str">
        <f t="shared" ca="1" si="189"/>
        <v/>
      </c>
      <c r="AL171" s="76" t="str">
        <f t="shared" ca="1" si="159"/>
        <v/>
      </c>
      <c r="AM171" s="11">
        <f t="shared" ca="1" si="182"/>
        <v>203.86925795051968</v>
      </c>
      <c r="AN171" s="11">
        <f t="shared" ca="1" si="183"/>
        <v>614.37495493136134</v>
      </c>
      <c r="AO171" s="11">
        <f t="shared" ca="1" si="150"/>
        <v>102.7888674586502</v>
      </c>
      <c r="AP171" s="12">
        <f t="shared" ca="1" si="151"/>
        <v>0.20092193665085376</v>
      </c>
      <c r="AQ171" s="11">
        <f t="shared" ca="1" si="184"/>
        <v>536.63842778782168</v>
      </c>
      <c r="AR171" s="11">
        <f t="shared" ca="1" si="152"/>
        <v>106.91770171879767</v>
      </c>
      <c r="AS171" s="12">
        <f t="shared" ca="1" si="153"/>
        <v>0.24880741195998068</v>
      </c>
      <c r="AT171" s="11">
        <f t="shared" ca="1" si="185"/>
        <v>486.60926223512973</v>
      </c>
      <c r="AU171" s="11">
        <f t="shared" ca="1" si="154"/>
        <v>110.96013852300968</v>
      </c>
      <c r="AV171" s="12">
        <f t="shared" ca="1" si="155"/>
        <v>0.29538239681358697</v>
      </c>
      <c r="AW171" s="10">
        <f t="shared" si="186"/>
        <v>44985</v>
      </c>
      <c r="AX171" s="76">
        <f t="shared" ca="1" si="205"/>
        <v>98855.53368796008</v>
      </c>
      <c r="AY171" s="75">
        <f t="shared" ca="1" si="190"/>
        <v>17.425479022839014</v>
      </c>
      <c r="AZ171" s="75">
        <f t="shared" ca="1" si="187"/>
        <v>11.263281490168374</v>
      </c>
      <c r="BA171" s="75">
        <f t="shared" ca="1" si="206"/>
        <v>6.1621975326706391</v>
      </c>
      <c r="BB171" s="75">
        <f t="shared" ca="1" si="207"/>
        <v>98849.371490427409</v>
      </c>
      <c r="BC171" s="12"/>
      <c r="BD171" s="12"/>
    </row>
    <row r="172" spans="3:56">
      <c r="C172" s="3">
        <f t="shared" si="166"/>
        <v>14</v>
      </c>
      <c r="D172" s="3">
        <f t="shared" si="174"/>
        <v>8</v>
      </c>
      <c r="E172" s="1">
        <f t="shared" si="175"/>
        <v>2033</v>
      </c>
      <c r="F172" s="3">
        <f t="shared" si="167"/>
        <v>71</v>
      </c>
      <c r="G172" s="3">
        <f t="shared" si="176"/>
        <v>168</v>
      </c>
      <c r="H172" s="4">
        <f t="shared" si="203"/>
        <v>116654.94070126451</v>
      </c>
      <c r="L172" s="25" t="str">
        <f t="shared" ca="1" si="169"/>
        <v/>
      </c>
      <c r="M172" s="4">
        <f t="shared" si="170"/>
        <v>116654.94070126451</v>
      </c>
      <c r="N172" s="5">
        <f t="shared" si="145"/>
        <v>2.18E-2</v>
      </c>
      <c r="O172" s="6">
        <f t="shared" si="171"/>
        <v>5.0499999999999996E-2</v>
      </c>
      <c r="P172" s="4">
        <f t="shared" si="164"/>
        <v>490.92287545115477</v>
      </c>
      <c r="Q172" s="7">
        <f t="shared" si="172"/>
        <v>1147.1423660440453</v>
      </c>
      <c r="R172" s="4">
        <f t="shared" si="177"/>
        <v>656.21949059289045</v>
      </c>
      <c r="S172" s="4">
        <f t="shared" si="165"/>
        <v>115998.72121067162</v>
      </c>
      <c r="T172" s="4">
        <f t="shared" si="178"/>
        <v>0</v>
      </c>
      <c r="U172" s="4">
        <f t="shared" si="173"/>
        <v>115998.72121067162</v>
      </c>
      <c r="AE172" s="91" t="str">
        <f t="shared" ca="1" si="191"/>
        <v/>
      </c>
      <c r="AF172" s="70">
        <f t="shared" si="188"/>
        <v>44986</v>
      </c>
      <c r="AG172" s="10">
        <f t="shared" si="163"/>
        <v>44986</v>
      </c>
      <c r="AH172" s="29">
        <f ca="1">IF(AG172=TODAY()-1,Loan!F142,IF(AG172&gt;$AB$13,$AB$55,AH171-AI172*AF171+AI172*AF172))</f>
        <v>2.0445229681977484E-2</v>
      </c>
      <c r="AI172" s="87">
        <f t="shared" ca="1" si="158"/>
        <v>5.8303886925803506E-5</v>
      </c>
      <c r="AJ172" s="76" t="str">
        <f t="shared" ca="1" si="181"/>
        <v/>
      </c>
      <c r="AK172" s="76" t="str">
        <f t="shared" ca="1" si="189"/>
        <v/>
      </c>
      <c r="AL172" s="76" t="str">
        <f t="shared" ca="1" si="159"/>
        <v/>
      </c>
      <c r="AM172" s="11">
        <f t="shared" ca="1" si="182"/>
        <v>204.45229681977483</v>
      </c>
      <c r="AN172" s="11">
        <f t="shared" ca="1" si="183"/>
        <v>614.68461444537024</v>
      </c>
      <c r="AO172" s="11">
        <f t="shared" ca="1" si="150"/>
        <v>103.0985269726591</v>
      </c>
      <c r="AP172" s="12">
        <f t="shared" ca="1" si="151"/>
        <v>0.20152722972193521</v>
      </c>
      <c r="AQ172" s="11">
        <f t="shared" ca="1" si="184"/>
        <v>536.96329245006416</v>
      </c>
      <c r="AR172" s="11">
        <f t="shared" ca="1" si="152"/>
        <v>107.24256638104015</v>
      </c>
      <c r="AS172" s="12">
        <f t="shared" ca="1" si="153"/>
        <v>0.24956340217067929</v>
      </c>
      <c r="AT172" s="11">
        <f t="shared" ca="1" si="185"/>
        <v>486.94876248805105</v>
      </c>
      <c r="AU172" s="11">
        <f t="shared" ca="1" si="154"/>
        <v>111.29963877593099</v>
      </c>
      <c r="AV172" s="12">
        <f t="shared" ca="1" si="155"/>
        <v>0.29628616639932809</v>
      </c>
      <c r="AW172" s="10">
        <f t="shared" si="186"/>
        <v>44986</v>
      </c>
      <c r="AX172" s="76">
        <f t="shared" ca="1" si="205"/>
        <v>98849.371490427409</v>
      </c>
      <c r="AY172" s="75">
        <f t="shared" ca="1" si="190"/>
        <v>17.434930980608883</v>
      </c>
      <c r="AZ172" s="75">
        <f t="shared" ca="1" si="187"/>
        <v>11.278369259282101</v>
      </c>
      <c r="BA172" s="75">
        <f t="shared" ca="1" si="206"/>
        <v>6.1565617213267814</v>
      </c>
      <c r="BB172" s="75">
        <f t="shared" ca="1" si="207"/>
        <v>98843.214928706089</v>
      </c>
      <c r="BC172" s="12"/>
      <c r="BD172" s="12"/>
    </row>
    <row r="173" spans="3:56">
      <c r="C173" s="3">
        <f t="shared" si="166"/>
        <v>15</v>
      </c>
      <c r="D173" s="3">
        <f t="shared" si="174"/>
        <v>9</v>
      </c>
      <c r="E173" s="1">
        <f t="shared" si="175"/>
        <v>2033</v>
      </c>
      <c r="F173" s="3">
        <f t="shared" si="167"/>
        <v>71</v>
      </c>
      <c r="G173" s="3">
        <f t="shared" si="176"/>
        <v>169</v>
      </c>
      <c r="H173" s="4">
        <f t="shared" si="203"/>
        <v>115998.72121067162</v>
      </c>
      <c r="L173" s="25" t="str">
        <f t="shared" ca="1" si="169"/>
        <v/>
      </c>
      <c r="M173" s="4">
        <f t="shared" si="170"/>
        <v>115998.72121067162</v>
      </c>
      <c r="N173" s="5">
        <f t="shared" ref="N173:N236" si="210">N172</f>
        <v>2.18E-2</v>
      </c>
      <c r="O173" s="6">
        <f t="shared" si="171"/>
        <v>5.0499999999999996E-2</v>
      </c>
      <c r="P173" s="4">
        <f t="shared" si="164"/>
        <v>488.16128509490972</v>
      </c>
      <c r="Q173" s="7">
        <f t="shared" si="172"/>
        <v>1147.1423660440455</v>
      </c>
      <c r="R173" s="4">
        <f t="shared" si="177"/>
        <v>658.98108094913573</v>
      </c>
      <c r="S173" s="4">
        <f t="shared" si="165"/>
        <v>115339.74012972249</v>
      </c>
      <c r="T173" s="4">
        <f t="shared" si="178"/>
        <v>0</v>
      </c>
      <c r="U173" s="4">
        <f t="shared" si="173"/>
        <v>115339.74012972249</v>
      </c>
      <c r="AE173" s="91" t="str">
        <f t="shared" ca="1" si="191"/>
        <v/>
      </c>
      <c r="AF173" s="70">
        <f t="shared" si="188"/>
        <v>44987</v>
      </c>
      <c r="AG173" s="10">
        <f t="shared" si="163"/>
        <v>44987</v>
      </c>
      <c r="AH173" s="29">
        <f ca="1">IF(AG173=TODAY()-1,Loan!F143,IF(AG173&gt;$AB$13,$AB$55,AH172-AI173*AF172+AI173*AF173))</f>
        <v>2.0503533568903443E-2</v>
      </c>
      <c r="AI173" s="87">
        <f t="shared" ca="1" si="158"/>
        <v>5.8303886925805891E-5</v>
      </c>
      <c r="AJ173" s="76" t="str">
        <f t="shared" ca="1" si="181"/>
        <v/>
      </c>
      <c r="AK173" s="76" t="str">
        <f t="shared" ca="1" si="189"/>
        <v/>
      </c>
      <c r="AL173" s="76" t="str">
        <f t="shared" ca="1" si="159"/>
        <v/>
      </c>
      <c r="AM173" s="11">
        <f t="shared" ca="1" si="182"/>
        <v>205.03533568903441</v>
      </c>
      <c r="AN173" s="11">
        <f t="shared" ca="1" si="183"/>
        <v>614.99436165937198</v>
      </c>
      <c r="AO173" s="11">
        <f t="shared" ca="1" si="150"/>
        <v>103.40827418666083</v>
      </c>
      <c r="AP173" s="12">
        <f t="shared" ca="1" si="151"/>
        <v>0.20213269422065119</v>
      </c>
      <c r="AQ173" s="11">
        <f t="shared" ca="1" si="184"/>
        <v>537.28826262444306</v>
      </c>
      <c r="AR173" s="11">
        <f t="shared" ca="1" si="152"/>
        <v>107.56753655541905</v>
      </c>
      <c r="AS173" s="12">
        <f t="shared" ca="1" si="153"/>
        <v>0.25031963791790901</v>
      </c>
      <c r="AT173" s="11">
        <f t="shared" ca="1" si="185"/>
        <v>487.28838361835273</v>
      </c>
      <c r="AU173" s="11">
        <f t="shared" ca="1" si="154"/>
        <v>111.63925990623267</v>
      </c>
      <c r="AV173" s="12">
        <f t="shared" ca="1" si="155"/>
        <v>0.29719025776774549</v>
      </c>
      <c r="AW173" s="10">
        <f t="shared" si="186"/>
        <v>44987</v>
      </c>
      <c r="AX173" s="76">
        <f t="shared" ca="1" si="205"/>
        <v>98843.214928706089</v>
      </c>
      <c r="AY173" s="75">
        <f t="shared" ca="1" si="190"/>
        <v>17.444386063681325</v>
      </c>
      <c r="AZ173" s="75">
        <f t="shared" ca="1" si="187"/>
        <v>11.293455703664748</v>
      </c>
      <c r="BA173" s="75">
        <f t="shared" ca="1" si="206"/>
        <v>6.1509303600165772</v>
      </c>
      <c r="BB173" s="75">
        <f t="shared" ca="1" si="207"/>
        <v>98837.063998346071</v>
      </c>
      <c r="BC173" s="12"/>
      <c r="BD173" s="12"/>
    </row>
    <row r="174" spans="3:56">
      <c r="C174" s="3">
        <f t="shared" si="166"/>
        <v>15</v>
      </c>
      <c r="D174" s="3">
        <f t="shared" si="174"/>
        <v>10</v>
      </c>
      <c r="E174" s="1">
        <f t="shared" si="175"/>
        <v>2033</v>
      </c>
      <c r="F174" s="3">
        <f t="shared" si="167"/>
        <v>71</v>
      </c>
      <c r="G174" s="3">
        <f t="shared" si="176"/>
        <v>170</v>
      </c>
      <c r="H174" s="4">
        <f t="shared" si="203"/>
        <v>115339.74012972249</v>
      </c>
      <c r="L174" s="25" t="str">
        <f t="shared" ca="1" si="169"/>
        <v/>
      </c>
      <c r="M174" s="4">
        <f t="shared" si="170"/>
        <v>115339.74012972249</v>
      </c>
      <c r="N174" s="5">
        <f t="shared" si="210"/>
        <v>2.18E-2</v>
      </c>
      <c r="O174" s="6">
        <f t="shared" si="171"/>
        <v>5.0499999999999996E-2</v>
      </c>
      <c r="P174" s="4">
        <f t="shared" si="164"/>
        <v>485.38807304591546</v>
      </c>
      <c r="Q174" s="7">
        <f t="shared" si="172"/>
        <v>1147.142366044046</v>
      </c>
      <c r="R174" s="4">
        <f t="shared" si="177"/>
        <v>661.7542929981305</v>
      </c>
      <c r="S174" s="4">
        <f t="shared" si="165"/>
        <v>114677.98583672436</v>
      </c>
      <c r="T174" s="4">
        <f t="shared" si="178"/>
        <v>0</v>
      </c>
      <c r="U174" s="4">
        <f t="shared" si="173"/>
        <v>114677.98583672436</v>
      </c>
      <c r="AE174" s="91" t="str">
        <f t="shared" ca="1" si="191"/>
        <v/>
      </c>
      <c r="AF174" s="70">
        <f t="shared" si="188"/>
        <v>44988</v>
      </c>
      <c r="AG174" s="10">
        <f t="shared" si="163"/>
        <v>44988</v>
      </c>
      <c r="AH174" s="29">
        <f ca="1">IF(AG174=TODAY()-1,Loan!F144,IF(AG174&gt;$AB$13,$AB$55,AH173-AI174*AF173+AI174*AF174))</f>
        <v>2.0561837455828957E-2</v>
      </c>
      <c r="AI174" s="87">
        <f t="shared" ca="1" si="158"/>
        <v>5.8303886925804617E-5</v>
      </c>
      <c r="AJ174" s="76" t="str">
        <f t="shared" ca="1" si="181"/>
        <v/>
      </c>
      <c r="AK174" s="76" t="str">
        <f t="shared" ca="1" si="189"/>
        <v/>
      </c>
      <c r="AL174" s="76" t="str">
        <f t="shared" ca="1" si="159"/>
        <v/>
      </c>
      <c r="AM174" s="11">
        <f t="shared" ca="1" si="182"/>
        <v>205.61837455828959</v>
      </c>
      <c r="AN174" s="11">
        <f t="shared" ca="1" si="183"/>
        <v>615.30419655597291</v>
      </c>
      <c r="AO174" s="11">
        <f t="shared" ca="1" si="150"/>
        <v>103.71810908326177</v>
      </c>
      <c r="AP174" s="12">
        <f t="shared" ca="1" si="151"/>
        <v>0.20273833011300227</v>
      </c>
      <c r="AQ174" s="11">
        <f t="shared" ca="1" si="184"/>
        <v>537.61333827893975</v>
      </c>
      <c r="AR174" s="11">
        <f t="shared" ca="1" si="152"/>
        <v>107.89261220991574</v>
      </c>
      <c r="AS174" s="12">
        <f t="shared" ca="1" si="153"/>
        <v>0.25107611912715949</v>
      </c>
      <c r="AT174" s="11">
        <f t="shared" ca="1" si="185"/>
        <v>487.62812557406261</v>
      </c>
      <c r="AU174" s="11">
        <f t="shared" ca="1" si="154"/>
        <v>111.97900186194255</v>
      </c>
      <c r="AV174" s="12">
        <f t="shared" ca="1" si="155"/>
        <v>0.29809467078048618</v>
      </c>
      <c r="AW174" s="10">
        <f t="shared" si="186"/>
        <v>44988</v>
      </c>
      <c r="AX174" s="76">
        <f t="shared" ca="1" si="205"/>
        <v>98837.063998346071</v>
      </c>
      <c r="AY174" s="75">
        <f t="shared" ca="1" si="190"/>
        <v>17.453844271423904</v>
      </c>
      <c r="AZ174" s="75">
        <f t="shared" ca="1" si="187"/>
        <v>11.30854082550765</v>
      </c>
      <c r="BA174" s="75">
        <f t="shared" ca="1" si="206"/>
        <v>6.1453034459162534</v>
      </c>
      <c r="BB174" s="75">
        <f t="shared" ca="1" si="207"/>
        <v>98830.91869490016</v>
      </c>
      <c r="BC174" s="12"/>
      <c r="BD174" s="12"/>
    </row>
    <row r="175" spans="3:56">
      <c r="C175" s="3">
        <f t="shared" si="166"/>
        <v>15</v>
      </c>
      <c r="D175" s="3">
        <f t="shared" si="174"/>
        <v>11</v>
      </c>
      <c r="E175" s="1">
        <f t="shared" si="175"/>
        <v>2033</v>
      </c>
      <c r="F175" s="3">
        <f t="shared" si="167"/>
        <v>71</v>
      </c>
      <c r="G175" s="3">
        <f t="shared" si="176"/>
        <v>171</v>
      </c>
      <c r="H175" s="4">
        <f t="shared" si="203"/>
        <v>114677.98583672436</v>
      </c>
      <c r="L175" s="25" t="str">
        <f t="shared" ca="1" si="169"/>
        <v/>
      </c>
      <c r="M175" s="4">
        <f t="shared" si="170"/>
        <v>114677.98583672436</v>
      </c>
      <c r="N175" s="5">
        <f t="shared" si="210"/>
        <v>2.18E-2</v>
      </c>
      <c r="O175" s="6">
        <f t="shared" si="171"/>
        <v>5.0499999999999996E-2</v>
      </c>
      <c r="P175" s="4">
        <f t="shared" si="164"/>
        <v>482.60319039621498</v>
      </c>
      <c r="Q175" s="7">
        <f t="shared" si="172"/>
        <v>1147.142366044046</v>
      </c>
      <c r="R175" s="4">
        <f t="shared" si="177"/>
        <v>664.53917564783092</v>
      </c>
      <c r="S175" s="4">
        <f t="shared" si="165"/>
        <v>114013.44666107652</v>
      </c>
      <c r="T175" s="4">
        <f t="shared" si="178"/>
        <v>0</v>
      </c>
      <c r="U175" s="4">
        <f t="shared" si="173"/>
        <v>114013.44666107652</v>
      </c>
      <c r="AE175" s="91" t="str">
        <f t="shared" ca="1" si="191"/>
        <v/>
      </c>
      <c r="AF175" s="70">
        <f t="shared" si="188"/>
        <v>44991</v>
      </c>
      <c r="AG175" s="10">
        <f t="shared" ref="AG175" si="211">AG174+3</f>
        <v>44991</v>
      </c>
      <c r="AH175" s="29">
        <f ca="1">IF(AG175=TODAY()-1,Loan!F145,IF(AG175&gt;$AB$13,$AB$55,AH174-AI175*AF174+AI175*AF175))</f>
        <v>2.073674911660639E-2</v>
      </c>
      <c r="AI175" s="87">
        <f t="shared" ca="1" si="158"/>
        <v>5.830388692580705E-5</v>
      </c>
      <c r="AJ175" s="76" t="str">
        <f t="shared" ca="1" si="181"/>
        <v/>
      </c>
      <c r="AK175" s="76" t="str">
        <f t="shared" ca="1" si="189"/>
        <v/>
      </c>
      <c r="AL175" s="76" t="str">
        <f t="shared" ca="1" si="159"/>
        <v/>
      </c>
      <c r="AM175" s="11">
        <f t="shared" ca="1" si="182"/>
        <v>207.3674911660639</v>
      </c>
      <c r="AN175" s="11">
        <f t="shared" ca="1" si="183"/>
        <v>616.23422716754874</v>
      </c>
      <c r="AO175" s="11">
        <f t="shared" ca="1" si="150"/>
        <v>104.6481396948376</v>
      </c>
      <c r="AP175" s="12">
        <f t="shared" ca="1" si="151"/>
        <v>0.20455626581209502</v>
      </c>
      <c r="AQ175" s="11">
        <f t="shared" ca="1" si="184"/>
        <v>538.58919780280519</v>
      </c>
      <c r="AR175" s="11">
        <f t="shared" ca="1" si="152"/>
        <v>108.86847173378118</v>
      </c>
      <c r="AS175" s="12">
        <f t="shared" ca="1" si="153"/>
        <v>0.25334703478159476</v>
      </c>
      <c r="AT175" s="11">
        <f t="shared" ca="1" si="185"/>
        <v>488.64807587353823</v>
      </c>
      <c r="AU175" s="11">
        <f t="shared" ca="1" si="154"/>
        <v>112.99895216141817</v>
      </c>
      <c r="AV175" s="12">
        <f t="shared" ca="1" si="155"/>
        <v>0.30080983830010288</v>
      </c>
      <c r="AW175" s="10">
        <f t="shared" si="186"/>
        <v>44991</v>
      </c>
      <c r="AX175" s="76">
        <f t="shared" ca="1" si="205"/>
        <v>98830.91869490016</v>
      </c>
      <c r="AY175" s="75">
        <f t="shared" ca="1" si="190"/>
        <v>17.486578072392909</v>
      </c>
      <c r="AZ175" s="75">
        <f t="shared" ca="1" si="187"/>
        <v>11.355198471977404</v>
      </c>
      <c r="BA175" s="75">
        <f t="shared" ca="1" si="206"/>
        <v>6.1313796004155048</v>
      </c>
      <c r="BB175" s="75">
        <f t="shared" ca="1" si="207"/>
        <v>98824.787315299749</v>
      </c>
      <c r="BC175" s="12"/>
      <c r="BD175" s="12"/>
    </row>
    <row r="176" spans="3:56">
      <c r="C176" s="3">
        <f t="shared" si="166"/>
        <v>15</v>
      </c>
      <c r="D176" s="3">
        <f t="shared" si="174"/>
        <v>12</v>
      </c>
      <c r="E176" s="1">
        <f t="shared" si="175"/>
        <v>2033</v>
      </c>
      <c r="F176" s="3">
        <f t="shared" si="167"/>
        <v>71</v>
      </c>
      <c r="G176" s="3">
        <f t="shared" si="176"/>
        <v>172</v>
      </c>
      <c r="H176" s="4">
        <f t="shared" si="203"/>
        <v>114013.44666107652</v>
      </c>
      <c r="L176" s="25" t="str">
        <f t="shared" ca="1" si="169"/>
        <v/>
      </c>
      <c r="M176" s="4">
        <f t="shared" si="170"/>
        <v>114013.44666107652</v>
      </c>
      <c r="N176" s="5">
        <f t="shared" si="210"/>
        <v>2.18E-2</v>
      </c>
      <c r="O176" s="6">
        <f t="shared" si="171"/>
        <v>5.0499999999999996E-2</v>
      </c>
      <c r="P176" s="4">
        <f t="shared" si="164"/>
        <v>479.80658803203033</v>
      </c>
      <c r="Q176" s="7">
        <f t="shared" si="172"/>
        <v>1147.1423660440462</v>
      </c>
      <c r="R176" s="4">
        <f t="shared" si="177"/>
        <v>667.33577801201591</v>
      </c>
      <c r="S176" s="4">
        <f t="shared" si="165"/>
        <v>113346.11088306451</v>
      </c>
      <c r="T176" s="4">
        <f t="shared" si="178"/>
        <v>0</v>
      </c>
      <c r="U176" s="4">
        <f t="shared" si="173"/>
        <v>113346.11088306451</v>
      </c>
      <c r="AE176" s="91" t="str">
        <f t="shared" ca="1" si="191"/>
        <v/>
      </c>
      <c r="AF176" s="70">
        <f t="shared" si="188"/>
        <v>44992</v>
      </c>
      <c r="AG176" s="10">
        <f t="shared" ref="AG176" si="212">AG175+1</f>
        <v>44992</v>
      </c>
      <c r="AH176" s="29">
        <f ca="1">IF(AG176=TODAY()-1,Loan!F146,IF(AG176&gt;$AB$13,$AB$55,AH175-AI176*AF175+AI176*AF176))</f>
        <v>2.0795053003532349E-2</v>
      </c>
      <c r="AI176" s="87">
        <f t="shared" ca="1" si="158"/>
        <v>5.8303886925806955E-5</v>
      </c>
      <c r="AJ176" s="76" t="str">
        <f t="shared" ca="1" si="181"/>
        <v/>
      </c>
      <c r="AK176" s="76" t="str">
        <f t="shared" ca="1" si="189"/>
        <v/>
      </c>
      <c r="AL176" s="76" t="str">
        <f t="shared" ca="1" si="159"/>
        <v/>
      </c>
      <c r="AM176" s="11">
        <f t="shared" ca="1" si="182"/>
        <v>207.95053003532348</v>
      </c>
      <c r="AN176" s="11">
        <f t="shared" ca="1" si="183"/>
        <v>616.54441262052069</v>
      </c>
      <c r="AO176" s="11">
        <f t="shared" ca="1" si="150"/>
        <v>104.95832514780955</v>
      </c>
      <c r="AP176" s="12">
        <f t="shared" ca="1" si="151"/>
        <v>0.20516258693881739</v>
      </c>
      <c r="AQ176" s="11">
        <f t="shared" ca="1" si="184"/>
        <v>538.9146950571967</v>
      </c>
      <c r="AR176" s="11">
        <f t="shared" ca="1" si="152"/>
        <v>109.19396898817268</v>
      </c>
      <c r="AS176" s="12">
        <f t="shared" ca="1" si="153"/>
        <v>0.25410449709291744</v>
      </c>
      <c r="AT176" s="11">
        <f t="shared" ca="1" si="185"/>
        <v>488.98830061048471</v>
      </c>
      <c r="AU176" s="11">
        <f t="shared" ca="1" si="154"/>
        <v>113.33917689836466</v>
      </c>
      <c r="AV176" s="12">
        <f t="shared" ca="1" si="155"/>
        <v>0.30171553650481164</v>
      </c>
      <c r="AW176" s="10">
        <f t="shared" si="186"/>
        <v>44992</v>
      </c>
      <c r="AX176" s="76">
        <f t="shared" ca="1" si="205"/>
        <v>98824.787315299749</v>
      </c>
      <c r="AY176" s="75">
        <f t="shared" ca="1" si="190"/>
        <v>17.493880504966182</v>
      </c>
      <c r="AZ176" s="75">
        <f t="shared" ca="1" si="187"/>
        <v>11.370279948955686</v>
      </c>
      <c r="BA176" s="75">
        <f t="shared" ca="1" si="206"/>
        <v>6.123600556010496</v>
      </c>
      <c r="BB176" s="75">
        <f t="shared" ca="1" si="207"/>
        <v>98818.663714743743</v>
      </c>
      <c r="BC176" s="12"/>
      <c r="BD176" s="12"/>
    </row>
    <row r="177" spans="3:56">
      <c r="C177" s="3">
        <f t="shared" si="166"/>
        <v>15</v>
      </c>
      <c r="D177" s="3">
        <f t="shared" si="174"/>
        <v>1</v>
      </c>
      <c r="E177" s="1">
        <f t="shared" si="175"/>
        <v>2034</v>
      </c>
      <c r="F177" s="3">
        <f t="shared" si="167"/>
        <v>71</v>
      </c>
      <c r="G177" s="3">
        <f t="shared" si="176"/>
        <v>173</v>
      </c>
      <c r="H177" s="4">
        <f t="shared" si="203"/>
        <v>113346.11088306451</v>
      </c>
      <c r="L177" s="25" t="str">
        <f t="shared" ca="1" si="169"/>
        <v/>
      </c>
      <c r="M177" s="4">
        <f t="shared" si="170"/>
        <v>113346.11088306451</v>
      </c>
      <c r="N177" s="5">
        <f t="shared" si="210"/>
        <v>2.18E-2</v>
      </c>
      <c r="O177" s="6">
        <f t="shared" si="171"/>
        <v>5.0499999999999996E-2</v>
      </c>
      <c r="P177" s="4">
        <f t="shared" si="164"/>
        <v>476.99821663289646</v>
      </c>
      <c r="Q177" s="7">
        <f t="shared" si="172"/>
        <v>1147.142366044046</v>
      </c>
      <c r="R177" s="4">
        <f t="shared" si="177"/>
        <v>670.14414941114956</v>
      </c>
      <c r="S177" s="4">
        <f t="shared" si="165"/>
        <v>112675.96673365336</v>
      </c>
      <c r="T177" s="4">
        <f t="shared" si="178"/>
        <v>0</v>
      </c>
      <c r="U177" s="4">
        <f t="shared" si="173"/>
        <v>112675.96673365336</v>
      </c>
      <c r="AE177" s="91" t="str">
        <f t="shared" ca="1" si="191"/>
        <v/>
      </c>
      <c r="AF177" s="70">
        <f t="shared" si="188"/>
        <v>44993</v>
      </c>
      <c r="AG177" s="10">
        <f t="shared" si="163"/>
        <v>44993</v>
      </c>
      <c r="AH177" s="29">
        <f ca="1">IF(AG177=TODAY()-1,Loan!F147,IF(AG177&gt;$AB$13,$AB$55,AH176-AI177*AF176+AI177*AF177))</f>
        <v>2.0853356890458308E-2</v>
      </c>
      <c r="AI177" s="87">
        <f t="shared" ca="1" si="158"/>
        <v>5.8303886925805633E-5</v>
      </c>
      <c r="AJ177" s="76" t="str">
        <f t="shared" ca="1" si="181"/>
        <v/>
      </c>
      <c r="AK177" s="76" t="str">
        <f t="shared" ca="1" si="189"/>
        <v/>
      </c>
      <c r="AL177" s="76" t="str">
        <f t="shared" ca="1" si="159"/>
        <v/>
      </c>
      <c r="AM177" s="11">
        <f t="shared" ca="1" si="182"/>
        <v>208.53356890458309</v>
      </c>
      <c r="AN177" s="11">
        <f t="shared" ca="1" si="183"/>
        <v>616.85468566895588</v>
      </c>
      <c r="AO177" s="11">
        <f t="shared" ca="1" si="150"/>
        <v>105.26859819624474</v>
      </c>
      <c r="AP177" s="12">
        <f t="shared" ca="1" si="151"/>
        <v>0.20576907928884977</v>
      </c>
      <c r="AQ177" s="11">
        <f t="shared" ca="1" si="184"/>
        <v>539.24029763123576</v>
      </c>
      <c r="AR177" s="11">
        <f t="shared" ca="1" si="152"/>
        <v>109.51957156221175</v>
      </c>
      <c r="AS177" s="12">
        <f t="shared" ca="1" si="153"/>
        <v>0.25486220449283181</v>
      </c>
      <c r="AT177" s="11">
        <f t="shared" ca="1" si="185"/>
        <v>489.32864591240008</v>
      </c>
      <c r="AU177" s="11">
        <f t="shared" ca="1" si="154"/>
        <v>113.67952220028002</v>
      </c>
      <c r="AV177" s="12">
        <f t="shared" ca="1" si="155"/>
        <v>0.30262155566053894</v>
      </c>
      <c r="AW177" s="10">
        <f t="shared" si="186"/>
        <v>44993</v>
      </c>
      <c r="AX177" s="76">
        <f t="shared" ca="1" si="205"/>
        <v>98818.663714743743</v>
      </c>
      <c r="AY177" s="75">
        <f t="shared" ca="1" si="190"/>
        <v>17.503355502662473</v>
      </c>
      <c r="AZ177" s="75">
        <f t="shared" ca="1" si="187"/>
        <v>11.385360363381649</v>
      </c>
      <c r="BA177" s="75">
        <f t="shared" ca="1" si="206"/>
        <v>6.1179951392808238</v>
      </c>
      <c r="BB177" s="75">
        <f t="shared" ca="1" si="207"/>
        <v>98812.545719604459</v>
      </c>
      <c r="BC177" s="12"/>
      <c r="BD177" s="12"/>
    </row>
    <row r="178" spans="3:56">
      <c r="C178" s="3">
        <f t="shared" si="166"/>
        <v>15</v>
      </c>
      <c r="D178" s="3">
        <f t="shared" si="174"/>
        <v>2</v>
      </c>
      <c r="E178" s="1">
        <f t="shared" si="175"/>
        <v>2034</v>
      </c>
      <c r="F178" s="3">
        <f t="shared" si="167"/>
        <v>72</v>
      </c>
      <c r="G178" s="3">
        <f t="shared" si="176"/>
        <v>174</v>
      </c>
      <c r="H178" s="4">
        <f t="shared" si="203"/>
        <v>112675.96673365336</v>
      </c>
      <c r="L178" s="25" t="str">
        <f t="shared" ca="1" si="169"/>
        <v/>
      </c>
      <c r="M178" s="4">
        <f t="shared" si="170"/>
        <v>112675.96673365336</v>
      </c>
      <c r="N178" s="5">
        <f t="shared" si="210"/>
        <v>2.18E-2</v>
      </c>
      <c r="O178" s="6">
        <f t="shared" si="171"/>
        <v>5.0499999999999996E-2</v>
      </c>
      <c r="P178" s="4">
        <f t="shared" si="164"/>
        <v>474.17802667079121</v>
      </c>
      <c r="Q178" s="7">
        <f t="shared" si="172"/>
        <v>1147.1423660440464</v>
      </c>
      <c r="R178" s="4">
        <f t="shared" si="177"/>
        <v>672.96433937325514</v>
      </c>
      <c r="S178" s="4">
        <f t="shared" si="165"/>
        <v>112003.00239428011</v>
      </c>
      <c r="T178" s="4">
        <f t="shared" si="178"/>
        <v>0</v>
      </c>
      <c r="U178" s="4">
        <f t="shared" si="173"/>
        <v>112003.00239428011</v>
      </c>
      <c r="AE178" s="91" t="str">
        <f t="shared" ca="1" si="191"/>
        <v/>
      </c>
      <c r="AF178" s="70">
        <f t="shared" si="188"/>
        <v>44994</v>
      </c>
      <c r="AG178" s="10">
        <f t="shared" si="163"/>
        <v>44994</v>
      </c>
      <c r="AH178" s="29">
        <f ca="1">IF(AG178=TODAY()-1,Loan!F148,IF(AG178&gt;$AB$13,$AB$55,AH177-AI178*AF177+AI178*AF178))</f>
        <v>2.0911660777383823E-2</v>
      </c>
      <c r="AI178" s="87">
        <f t="shared" ca="1" si="158"/>
        <v>5.8303886925804292E-5</v>
      </c>
      <c r="AJ178" s="76" t="str">
        <f t="shared" ca="1" si="181"/>
        <v/>
      </c>
      <c r="AK178" s="76" t="str">
        <f t="shared" ca="1" si="189"/>
        <v/>
      </c>
      <c r="AL178" s="76" t="str">
        <f t="shared" ca="1" si="159"/>
        <v/>
      </c>
      <c r="AM178" s="11">
        <f t="shared" ca="1" si="182"/>
        <v>209.11660777383821</v>
      </c>
      <c r="AN178" s="11">
        <f t="shared" ca="1" si="183"/>
        <v>617.16504629536212</v>
      </c>
      <c r="AO178" s="11">
        <f t="shared" ca="1" si="150"/>
        <v>105.57895882265097</v>
      </c>
      <c r="AP178" s="12">
        <f t="shared" ca="1" si="151"/>
        <v>0.20637574282800006</v>
      </c>
      <c r="AQ178" s="11">
        <f t="shared" ca="1" si="184"/>
        <v>539.56600549272639</v>
      </c>
      <c r="AR178" s="11">
        <f t="shared" ca="1" si="152"/>
        <v>109.84527942370238</v>
      </c>
      <c r="AS178" s="12">
        <f t="shared" ca="1" si="153"/>
        <v>0.25562015690641471</v>
      </c>
      <c r="AT178" s="11">
        <f t="shared" ca="1" si="185"/>
        <v>489.66911172705778</v>
      </c>
      <c r="AU178" s="11">
        <f t="shared" ca="1" si="154"/>
        <v>114.01998801493772</v>
      </c>
      <c r="AV178" s="12">
        <f t="shared" ca="1" si="155"/>
        <v>0.30352789562825472</v>
      </c>
      <c r="AW178" s="10">
        <f t="shared" si="186"/>
        <v>44994</v>
      </c>
      <c r="AX178" s="76">
        <f t="shared" ca="1" si="205"/>
        <v>98812.545719604459</v>
      </c>
      <c r="AY178" s="75">
        <f t="shared" ca="1" si="190"/>
        <v>17.512833621477036</v>
      </c>
      <c r="AZ178" s="75">
        <f t="shared" ca="1" si="187"/>
        <v>11.400439468201952</v>
      </c>
      <c r="BA178" s="75">
        <f t="shared" ca="1" si="206"/>
        <v>6.1123941532750834</v>
      </c>
      <c r="BB178" s="75">
        <f t="shared" ca="1" si="207"/>
        <v>98806.433325451188</v>
      </c>
      <c r="BC178" s="12"/>
      <c r="BD178" s="12"/>
    </row>
    <row r="179" spans="3:56">
      <c r="C179" s="3">
        <f t="shared" si="166"/>
        <v>15</v>
      </c>
      <c r="D179" s="3">
        <f t="shared" si="174"/>
        <v>3</v>
      </c>
      <c r="E179" s="1">
        <f t="shared" si="175"/>
        <v>2034</v>
      </c>
      <c r="F179" s="3">
        <f t="shared" si="167"/>
        <v>72</v>
      </c>
      <c r="G179" s="3">
        <f t="shared" si="176"/>
        <v>175</v>
      </c>
      <c r="H179" s="4">
        <f t="shared" si="203"/>
        <v>112003.00239428011</v>
      </c>
      <c r="L179" s="25" t="str">
        <f t="shared" ca="1" si="169"/>
        <v/>
      </c>
      <c r="M179" s="4">
        <f t="shared" si="170"/>
        <v>112003.00239428011</v>
      </c>
      <c r="N179" s="5">
        <f t="shared" si="210"/>
        <v>2.18E-2</v>
      </c>
      <c r="O179" s="6">
        <f t="shared" si="171"/>
        <v>5.0499999999999996E-2</v>
      </c>
      <c r="P179" s="4">
        <f t="shared" si="164"/>
        <v>471.34596840926207</v>
      </c>
      <c r="Q179" s="7">
        <f t="shared" si="172"/>
        <v>1147.142366044046</v>
      </c>
      <c r="R179" s="4">
        <f t="shared" si="177"/>
        <v>675.79639763478394</v>
      </c>
      <c r="S179" s="4">
        <f t="shared" si="165"/>
        <v>111327.20599664532</v>
      </c>
      <c r="T179" s="4">
        <f t="shared" si="178"/>
        <v>0</v>
      </c>
      <c r="U179" s="4">
        <f t="shared" si="173"/>
        <v>111327.20599664532</v>
      </c>
      <c r="AE179" s="91" t="str">
        <f t="shared" ca="1" si="191"/>
        <v/>
      </c>
      <c r="AF179" s="70">
        <f t="shared" si="188"/>
        <v>44995</v>
      </c>
      <c r="AG179" s="10">
        <f t="shared" si="163"/>
        <v>44995</v>
      </c>
      <c r="AH179" s="29">
        <f ca="1">IF(AG179=TODAY()-1,Loan!F149,IF(AG179&gt;$AB$13,$AB$55,AH178-AI179*AF178+AI179*AF179))</f>
        <v>2.0969964664309337E-2</v>
      </c>
      <c r="AI179" s="87">
        <f t="shared" ca="1" si="158"/>
        <v>5.8303886925806853E-5</v>
      </c>
      <c r="AJ179" s="76" t="str">
        <f t="shared" ca="1" si="181"/>
        <v/>
      </c>
      <c r="AK179" s="76" t="str">
        <f t="shared" ca="1" si="189"/>
        <v/>
      </c>
      <c r="AL179" s="76" t="str">
        <f t="shared" ca="1" si="159"/>
        <v/>
      </c>
      <c r="AM179" s="11">
        <f t="shared" ca="1" si="182"/>
        <v>209.69964664309339</v>
      </c>
      <c r="AN179" s="11">
        <f t="shared" ca="1" si="183"/>
        <v>617.47549448224993</v>
      </c>
      <c r="AO179" s="11">
        <f t="shared" ca="1" si="150"/>
        <v>105.88940700953879</v>
      </c>
      <c r="AP179" s="12">
        <f t="shared" ca="1" si="151"/>
        <v>0.20698257752208146</v>
      </c>
      <c r="AQ179" s="11">
        <f t="shared" ca="1" si="184"/>
        <v>539.89181860945939</v>
      </c>
      <c r="AR179" s="11">
        <f t="shared" ca="1" si="152"/>
        <v>110.17109254043538</v>
      </c>
      <c r="AS179" s="12">
        <f t="shared" ca="1" si="153"/>
        <v>0.25637835425871247</v>
      </c>
      <c r="AT179" s="11">
        <f t="shared" ca="1" si="185"/>
        <v>490.00969800220292</v>
      </c>
      <c r="AU179" s="11">
        <f t="shared" ca="1" si="154"/>
        <v>114.36057429008287</v>
      </c>
      <c r="AV179" s="12">
        <f t="shared" ca="1" si="155"/>
        <v>0.30443455626885335</v>
      </c>
      <c r="AW179" s="10">
        <f t="shared" si="186"/>
        <v>44995</v>
      </c>
      <c r="AX179" s="76">
        <f t="shared" ca="1" si="205"/>
        <v>98806.433325451188</v>
      </c>
      <c r="AY179" s="75">
        <f t="shared" ca="1" si="190"/>
        <v>17.522314860737009</v>
      </c>
      <c r="AZ179" s="75">
        <f t="shared" ca="1" si="187"/>
        <v>11.415517265590996</v>
      </c>
      <c r="BA179" s="75">
        <f t="shared" ca="1" si="206"/>
        <v>6.1067975951460127</v>
      </c>
      <c r="BB179" s="75">
        <f t="shared" ca="1" si="207"/>
        <v>98800.326527856043</v>
      </c>
      <c r="BC179" s="12"/>
      <c r="BD179" s="12"/>
    </row>
    <row r="180" spans="3:56">
      <c r="C180" s="3">
        <f t="shared" si="166"/>
        <v>15</v>
      </c>
      <c r="D180" s="3">
        <f t="shared" si="174"/>
        <v>4</v>
      </c>
      <c r="E180" s="1">
        <f t="shared" si="175"/>
        <v>2034</v>
      </c>
      <c r="F180" s="3">
        <f t="shared" si="167"/>
        <v>72</v>
      </c>
      <c r="G180" s="3">
        <f t="shared" si="176"/>
        <v>176</v>
      </c>
      <c r="H180" s="4">
        <f t="shared" si="203"/>
        <v>111327.20599664532</v>
      </c>
      <c r="L180" s="25" t="str">
        <f t="shared" ca="1" si="169"/>
        <v/>
      </c>
      <c r="M180" s="4">
        <f t="shared" si="170"/>
        <v>111327.20599664532</v>
      </c>
      <c r="N180" s="5">
        <f t="shared" si="210"/>
        <v>2.18E-2</v>
      </c>
      <c r="O180" s="6">
        <f t="shared" si="171"/>
        <v>5.0499999999999996E-2</v>
      </c>
      <c r="P180" s="4">
        <f t="shared" si="164"/>
        <v>468.50199190254904</v>
      </c>
      <c r="Q180" s="7">
        <f t="shared" si="172"/>
        <v>1147.142366044046</v>
      </c>
      <c r="R180" s="4">
        <f t="shared" si="177"/>
        <v>678.64037414149698</v>
      </c>
      <c r="S180" s="4">
        <f t="shared" si="165"/>
        <v>110648.56562250383</v>
      </c>
      <c r="T180" s="4">
        <f t="shared" si="178"/>
        <v>0</v>
      </c>
      <c r="U180" s="4">
        <f t="shared" si="173"/>
        <v>110648.56562250383</v>
      </c>
      <c r="AE180" s="91" t="str">
        <f t="shared" ca="1" si="191"/>
        <v/>
      </c>
      <c r="AF180" s="70">
        <f t="shared" si="188"/>
        <v>44998</v>
      </c>
      <c r="AG180" s="10">
        <f t="shared" ref="AG180" si="213">AG179+3</f>
        <v>44998</v>
      </c>
      <c r="AH180" s="29">
        <f ca="1">IF(AG180=TODAY()-1,Loan!F150,IF(AG180&gt;$AB$13,$AB$55,AH179-AI180*AF179+AI180*AF180))</f>
        <v>2.114487632508677E-2</v>
      </c>
      <c r="AI180" s="87">
        <f t="shared" ca="1" si="158"/>
        <v>5.8303886925809455E-5</v>
      </c>
      <c r="AJ180" s="76" t="str">
        <f t="shared" ca="1" si="181"/>
        <v/>
      </c>
      <c r="AK180" s="76" t="str">
        <f t="shared" ca="1" si="189"/>
        <v/>
      </c>
      <c r="AL180" s="76" t="str">
        <f t="shared" ca="1" si="159"/>
        <v/>
      </c>
      <c r="AM180" s="11">
        <f t="shared" ca="1" si="182"/>
        <v>211.4487632508677</v>
      </c>
      <c r="AN180" s="11">
        <f t="shared" ca="1" si="183"/>
        <v>618.40736423029239</v>
      </c>
      <c r="AO180" s="11">
        <f t="shared" ca="1" si="150"/>
        <v>106.82127675758124</v>
      </c>
      <c r="AP180" s="12">
        <f t="shared" ca="1" si="151"/>
        <v>0.20880410819084144</v>
      </c>
      <c r="AQ180" s="11">
        <f t="shared" ca="1" si="184"/>
        <v>540.86988916827954</v>
      </c>
      <c r="AR180" s="11">
        <f t="shared" ca="1" si="152"/>
        <v>111.14916309925553</v>
      </c>
      <c r="AS180" s="12">
        <f t="shared" ca="1" si="153"/>
        <v>0.25865441519663207</v>
      </c>
      <c r="AT180" s="11">
        <f t="shared" ca="1" si="185"/>
        <v>491.03217906713877</v>
      </c>
      <c r="AU180" s="11">
        <f t="shared" ca="1" si="154"/>
        <v>115.38305535501871</v>
      </c>
      <c r="AV180" s="12">
        <f t="shared" ca="1" si="155"/>
        <v>0.30715646083456033</v>
      </c>
      <c r="AW180" s="10">
        <f t="shared" si="186"/>
        <v>44998</v>
      </c>
      <c r="AX180" s="76">
        <f t="shared" ca="1" si="205"/>
        <v>98800.326527856043</v>
      </c>
      <c r="AY180" s="75">
        <f t="shared" ca="1" si="190"/>
        <v>17.555108772155918</v>
      </c>
      <c r="AZ180" s="75">
        <f t="shared" ca="1" si="187"/>
        <v>11.462157829315766</v>
      </c>
      <c r="BA180" s="75">
        <f t="shared" ca="1" si="206"/>
        <v>6.0929509428401527</v>
      </c>
      <c r="BB180" s="75">
        <f t="shared" ca="1" si="207"/>
        <v>98794.233576913204</v>
      </c>
      <c r="BC180" s="12"/>
      <c r="BD180" s="12"/>
    </row>
    <row r="181" spans="3:56">
      <c r="C181" s="3">
        <f t="shared" si="166"/>
        <v>15</v>
      </c>
      <c r="D181" s="3">
        <f t="shared" si="174"/>
        <v>5</v>
      </c>
      <c r="E181" s="1">
        <f t="shared" si="175"/>
        <v>2034</v>
      </c>
      <c r="F181" s="3">
        <f t="shared" si="167"/>
        <v>72</v>
      </c>
      <c r="G181" s="3">
        <f t="shared" si="176"/>
        <v>177</v>
      </c>
      <c r="H181" s="4">
        <f t="shared" si="203"/>
        <v>110648.56562250383</v>
      </c>
      <c r="L181" s="25" t="str">
        <f t="shared" ca="1" si="169"/>
        <v/>
      </c>
      <c r="M181" s="4">
        <f t="shared" si="170"/>
        <v>110648.56562250383</v>
      </c>
      <c r="N181" s="5">
        <f t="shared" si="210"/>
        <v>2.18E-2</v>
      </c>
      <c r="O181" s="6">
        <f t="shared" si="171"/>
        <v>5.0499999999999996E-2</v>
      </c>
      <c r="P181" s="4">
        <f t="shared" si="164"/>
        <v>465.64604699470357</v>
      </c>
      <c r="Q181" s="7">
        <f t="shared" si="172"/>
        <v>1147.1423660440462</v>
      </c>
      <c r="R181" s="4">
        <f t="shared" si="177"/>
        <v>681.49631904934267</v>
      </c>
      <c r="S181" s="4">
        <f t="shared" si="165"/>
        <v>109967.06930345448</v>
      </c>
      <c r="T181" s="4">
        <f t="shared" si="178"/>
        <v>0</v>
      </c>
      <c r="U181" s="4">
        <f t="shared" si="173"/>
        <v>109967.06930345448</v>
      </c>
      <c r="AE181" s="91" t="str">
        <f t="shared" ca="1" si="191"/>
        <v/>
      </c>
      <c r="AF181" s="70">
        <f t="shared" si="188"/>
        <v>44999</v>
      </c>
      <c r="AG181" s="10">
        <f t="shared" ref="AG181" si="214">AG180+1</f>
        <v>44999</v>
      </c>
      <c r="AH181" s="29">
        <f ca="1">IF(AG181=TODAY()-1,Loan!F151,IF(AG181&gt;$AB$13,$AB$55,AH180-AI181*AF180+AI181*AF181))</f>
        <v>2.1203180212012285E-2</v>
      </c>
      <c r="AI181" s="87">
        <f t="shared" ca="1" si="158"/>
        <v>5.8303886925809421E-5</v>
      </c>
      <c r="AJ181" s="76" t="str">
        <f t="shared" ca="1" si="181"/>
        <v/>
      </c>
      <c r="AK181" s="76" t="str">
        <f t="shared" ca="1" si="189"/>
        <v/>
      </c>
      <c r="AL181" s="76" t="str">
        <f t="shared" ca="1" si="159"/>
        <v/>
      </c>
      <c r="AM181" s="11">
        <f t="shared" ca="1" si="182"/>
        <v>212.03180212012285</v>
      </c>
      <c r="AN181" s="11">
        <f t="shared" ca="1" si="183"/>
        <v>618.71816248357311</v>
      </c>
      <c r="AO181" s="11">
        <f t="shared" ref="AO181:AO244" ca="1" si="215">AN181-AN$7</f>
        <v>107.13207501086197</v>
      </c>
      <c r="AP181" s="12">
        <f t="shared" ref="AP181:AP244" ca="1" si="216">AO181/AN$7</f>
        <v>0.20941162716153139</v>
      </c>
      <c r="AQ181" s="11">
        <f t="shared" ca="1" si="184"/>
        <v>541.19612298304617</v>
      </c>
      <c r="AR181" s="11">
        <f t="shared" ref="AR181:AR244" ca="1" si="217">AQ181-AQ$7</f>
        <v>111.47539691402216</v>
      </c>
      <c r="AS181" s="12">
        <f t="shared" ref="AS181:AS244" ca="1" si="218">AR181/AQ$7</f>
        <v>0.25941359155228738</v>
      </c>
      <c r="AT181" s="11">
        <f t="shared" ca="1" si="185"/>
        <v>491.3732466606333</v>
      </c>
      <c r="AU181" s="11">
        <f t="shared" ref="AU181:AU244" ca="1" si="219">AT181-AT$7</f>
        <v>115.72412294851324</v>
      </c>
      <c r="AV181" s="12">
        <f t="shared" ref="AV181:AV244" ca="1" si="220">AU181/AT$7</f>
        <v>0.30806440277283542</v>
      </c>
      <c r="AW181" s="10">
        <f t="shared" si="186"/>
        <v>44999</v>
      </c>
      <c r="AX181" s="76">
        <f t="shared" ca="1" si="205"/>
        <v>98794.233576913204</v>
      </c>
      <c r="AY181" s="75">
        <f t="shared" ca="1" si="190"/>
        <v>17.562438693683003</v>
      </c>
      <c r="AZ181" s="75">
        <f t="shared" ca="1" si="187"/>
        <v>11.477232028135578</v>
      </c>
      <c r="BA181" s="75">
        <f t="shared" ca="1" si="206"/>
        <v>6.0852066655474246</v>
      </c>
      <c r="BB181" s="75">
        <f t="shared" ca="1" si="207"/>
        <v>98788.148370247654</v>
      </c>
      <c r="BC181" s="12"/>
      <c r="BD181" s="12"/>
    </row>
    <row r="182" spans="3:56">
      <c r="C182" s="3">
        <f t="shared" si="166"/>
        <v>15</v>
      </c>
      <c r="D182" s="3">
        <f t="shared" si="174"/>
        <v>6</v>
      </c>
      <c r="E182" s="1">
        <f t="shared" si="175"/>
        <v>2034</v>
      </c>
      <c r="F182" s="3">
        <f t="shared" si="167"/>
        <v>72</v>
      </c>
      <c r="G182" s="3">
        <f t="shared" si="176"/>
        <v>178</v>
      </c>
      <c r="H182" s="4">
        <f t="shared" si="203"/>
        <v>109967.06930345448</v>
      </c>
      <c r="L182" s="25" t="str">
        <f t="shared" ca="1" si="169"/>
        <v/>
      </c>
      <c r="M182" s="4">
        <f t="shared" si="170"/>
        <v>109967.06930345448</v>
      </c>
      <c r="N182" s="5">
        <f t="shared" si="210"/>
        <v>2.18E-2</v>
      </c>
      <c r="O182" s="6">
        <f t="shared" si="171"/>
        <v>5.0499999999999996E-2</v>
      </c>
      <c r="P182" s="4">
        <f t="shared" si="164"/>
        <v>462.7780833187042</v>
      </c>
      <c r="Q182" s="7">
        <f t="shared" si="172"/>
        <v>1147.1423660440466</v>
      </c>
      <c r="R182" s="4">
        <f t="shared" si="177"/>
        <v>684.36428272534249</v>
      </c>
      <c r="S182" s="4">
        <f t="shared" si="165"/>
        <v>109282.70502072913</v>
      </c>
      <c r="T182" s="4">
        <f t="shared" si="178"/>
        <v>0</v>
      </c>
      <c r="U182" s="4">
        <f t="shared" si="173"/>
        <v>109282.70502072913</v>
      </c>
      <c r="AE182" s="91" t="str">
        <f t="shared" ca="1" si="191"/>
        <v/>
      </c>
      <c r="AF182" s="70">
        <f t="shared" si="188"/>
        <v>45000</v>
      </c>
      <c r="AG182" s="10">
        <f t="shared" si="163"/>
        <v>45000</v>
      </c>
      <c r="AH182" s="29">
        <f ca="1">IF(AG182=TODAY()-1,Loan!F152,IF(AG182&gt;$AB$13,$AB$55,AH181-AI182*AF181+AI182*AF182))</f>
        <v>2.1261484098938244E-2</v>
      </c>
      <c r="AI182" s="87">
        <f t="shared" ca="1" si="158"/>
        <v>5.8303886925812145E-5</v>
      </c>
      <c r="AJ182" s="76" t="str">
        <f t="shared" ca="1" si="181"/>
        <v/>
      </c>
      <c r="AK182" s="76" t="str">
        <f t="shared" ca="1" si="189"/>
        <v/>
      </c>
      <c r="AL182" s="76" t="str">
        <f t="shared" ca="1" si="159"/>
        <v/>
      </c>
      <c r="AM182" s="11">
        <f t="shared" ca="1" si="182"/>
        <v>212.61484098938243</v>
      </c>
      <c r="AN182" s="11">
        <f t="shared" ca="1" si="183"/>
        <v>619.02904820946924</v>
      </c>
      <c r="AO182" s="11">
        <f t="shared" ca="1" si="215"/>
        <v>107.4429607367581</v>
      </c>
      <c r="AP182" s="12">
        <f t="shared" ca="1" si="216"/>
        <v>0.21001931711540003</v>
      </c>
      <c r="AQ182" s="11">
        <f t="shared" ca="1" si="184"/>
        <v>541.52246189142704</v>
      </c>
      <c r="AR182" s="11">
        <f t="shared" ca="1" si="217"/>
        <v>111.80173582240303</v>
      </c>
      <c r="AS182" s="12">
        <f t="shared" ca="1" si="218"/>
        <v>0.26017301247053382</v>
      </c>
      <c r="AT182" s="11">
        <f t="shared" ca="1" si="185"/>
        <v>491.71443445259496</v>
      </c>
      <c r="AU182" s="11">
        <f t="shared" ca="1" si="219"/>
        <v>116.0653107404749</v>
      </c>
      <c r="AV182" s="12">
        <f t="shared" ca="1" si="220"/>
        <v>0.30897266468647994</v>
      </c>
      <c r="AW182" s="10">
        <f t="shared" si="186"/>
        <v>45000</v>
      </c>
      <c r="AX182" s="76">
        <f t="shared" ca="1" si="205"/>
        <v>98788.148370247654</v>
      </c>
      <c r="AY182" s="75">
        <f t="shared" ca="1" si="190"/>
        <v>17.571936697599313</v>
      </c>
      <c r="AZ182" s="75">
        <f t="shared" ca="1" si="187"/>
        <v>11.492305181333762</v>
      </c>
      <c r="BA182" s="75">
        <f t="shared" ca="1" si="206"/>
        <v>6.0796315162655503</v>
      </c>
      <c r="BB182" s="75">
        <f t="shared" ca="1" si="207"/>
        <v>98782.068738731396</v>
      </c>
      <c r="BC182" s="12"/>
      <c r="BD182" s="12"/>
    </row>
    <row r="183" spans="3:56">
      <c r="C183" s="3">
        <f t="shared" si="166"/>
        <v>15</v>
      </c>
      <c r="D183" s="3">
        <f t="shared" si="174"/>
        <v>7</v>
      </c>
      <c r="E183" s="1">
        <f t="shared" si="175"/>
        <v>2034</v>
      </c>
      <c r="F183" s="3">
        <f t="shared" si="167"/>
        <v>72</v>
      </c>
      <c r="G183" s="3">
        <f t="shared" si="176"/>
        <v>179</v>
      </c>
      <c r="H183" s="4">
        <f t="shared" si="203"/>
        <v>109282.70502072913</v>
      </c>
      <c r="L183" s="25" t="str">
        <f t="shared" ca="1" si="169"/>
        <v/>
      </c>
      <c r="M183" s="4">
        <f t="shared" si="170"/>
        <v>109282.70502072913</v>
      </c>
      <c r="N183" s="5">
        <f t="shared" si="210"/>
        <v>2.18E-2</v>
      </c>
      <c r="O183" s="6">
        <f t="shared" si="171"/>
        <v>5.0499999999999996E-2</v>
      </c>
      <c r="P183" s="4">
        <f t="shared" si="164"/>
        <v>459.89805029556845</v>
      </c>
      <c r="Q183" s="7">
        <f t="shared" si="172"/>
        <v>1147.1423660440466</v>
      </c>
      <c r="R183" s="4">
        <f t="shared" si="177"/>
        <v>687.24431574847813</v>
      </c>
      <c r="S183" s="4">
        <f t="shared" si="165"/>
        <v>108595.46070498065</v>
      </c>
      <c r="T183" s="4">
        <f t="shared" si="178"/>
        <v>0</v>
      </c>
      <c r="U183" s="4">
        <f t="shared" si="173"/>
        <v>108595.46070498065</v>
      </c>
      <c r="AE183" s="91" t="str">
        <f t="shared" ca="1" si="191"/>
        <v/>
      </c>
      <c r="AF183" s="70">
        <f t="shared" si="188"/>
        <v>45001</v>
      </c>
      <c r="AG183" s="10">
        <f t="shared" si="163"/>
        <v>45001</v>
      </c>
      <c r="AH183" s="29">
        <f ca="1">IF(AG183=TODAY()-1,Loan!F153,IF(AG183&gt;$AB$13,$AB$55,AH182-AI183*AF182+AI183*AF183))</f>
        <v>2.1319787985864203E-2</v>
      </c>
      <c r="AI183" s="87">
        <f t="shared" ca="1" si="158"/>
        <v>5.8303886925810777E-5</v>
      </c>
      <c r="AJ183" s="76" t="str">
        <f t="shared" ca="1" si="181"/>
        <v/>
      </c>
      <c r="AK183" s="76" t="str">
        <f t="shared" ca="1" si="189"/>
        <v/>
      </c>
      <c r="AL183" s="76" t="str">
        <f t="shared" ca="1" si="159"/>
        <v/>
      </c>
      <c r="AM183" s="11">
        <f t="shared" ca="1" si="182"/>
        <v>213.19787985864201</v>
      </c>
      <c r="AN183" s="11">
        <f t="shared" ca="1" si="183"/>
        <v>619.34002139037921</v>
      </c>
      <c r="AO183" s="11">
        <f t="shared" ca="1" si="215"/>
        <v>107.75393391766806</v>
      </c>
      <c r="AP183" s="12">
        <f t="shared" ca="1" si="216"/>
        <v>0.21062717801804146</v>
      </c>
      <c r="AQ183" s="11">
        <f t="shared" ca="1" si="184"/>
        <v>541.84890586102392</v>
      </c>
      <c r="AR183" s="11">
        <f t="shared" ca="1" si="217"/>
        <v>112.12817979199991</v>
      </c>
      <c r="AS183" s="12">
        <f t="shared" ca="1" si="218"/>
        <v>0.26093267787597774</v>
      </c>
      <c r="AT183" s="11">
        <f t="shared" ca="1" si="185"/>
        <v>492.05574239050566</v>
      </c>
      <c r="AU183" s="11">
        <f t="shared" ca="1" si="219"/>
        <v>116.4066186783856</v>
      </c>
      <c r="AV183" s="12">
        <f t="shared" ca="1" si="220"/>
        <v>0.30988124643568765</v>
      </c>
      <c r="AW183" s="10">
        <f t="shared" si="186"/>
        <v>45001</v>
      </c>
      <c r="AX183" s="76">
        <f t="shared" ca="1" si="205"/>
        <v>98782.068738731396</v>
      </c>
      <c r="AY183" s="75">
        <f t="shared" ca="1" si="190"/>
        <v>17.581437818361831</v>
      </c>
      <c r="AZ183" s="75">
        <f t="shared" ca="1" si="187"/>
        <v>11.507377039934036</v>
      </c>
      <c r="BA183" s="75">
        <f t="shared" ca="1" si="206"/>
        <v>6.0740607784277945</v>
      </c>
      <c r="BB183" s="75">
        <f t="shared" ca="1" si="207"/>
        <v>98775.994677952971</v>
      </c>
      <c r="BC183" s="12"/>
      <c r="BD183" s="12"/>
    </row>
    <row r="184" spans="3:56">
      <c r="C184" s="3">
        <f t="shared" si="166"/>
        <v>15</v>
      </c>
      <c r="D184" s="3">
        <f t="shared" si="174"/>
        <v>8</v>
      </c>
      <c r="E184" s="1">
        <f t="shared" si="175"/>
        <v>2034</v>
      </c>
      <c r="F184" s="3">
        <f t="shared" si="167"/>
        <v>72</v>
      </c>
      <c r="G184" s="3">
        <f t="shared" si="176"/>
        <v>180</v>
      </c>
      <c r="H184" s="4">
        <f t="shared" si="203"/>
        <v>108595.46070498065</v>
      </c>
      <c r="L184" s="25" t="str">
        <f t="shared" ca="1" si="169"/>
        <v/>
      </c>
      <c r="M184" s="4">
        <f t="shared" si="170"/>
        <v>108595.46070498065</v>
      </c>
      <c r="N184" s="5">
        <f t="shared" si="210"/>
        <v>2.18E-2</v>
      </c>
      <c r="O184" s="6">
        <f t="shared" si="171"/>
        <v>5.0499999999999996E-2</v>
      </c>
      <c r="P184" s="4">
        <f t="shared" si="164"/>
        <v>457.00589713346022</v>
      </c>
      <c r="Q184" s="7">
        <f t="shared" si="172"/>
        <v>1147.1423660440469</v>
      </c>
      <c r="R184" s="4">
        <f t="shared" si="177"/>
        <v>690.1364689105867</v>
      </c>
      <c r="S184" s="4">
        <f t="shared" si="165"/>
        <v>107905.32423607007</v>
      </c>
      <c r="T184" s="4">
        <f t="shared" si="178"/>
        <v>0</v>
      </c>
      <c r="U184" s="4">
        <f t="shared" si="173"/>
        <v>107905.32423607007</v>
      </c>
      <c r="AE184" s="91" t="str">
        <f t="shared" ca="1" si="191"/>
        <v/>
      </c>
      <c r="AF184" s="70">
        <f t="shared" si="188"/>
        <v>45002</v>
      </c>
      <c r="AG184" s="10">
        <f t="shared" si="163"/>
        <v>45002</v>
      </c>
      <c r="AH184" s="29">
        <f ca="1">IF(AG184=TODAY()-1,Loan!F154,IF(AG184&gt;$AB$13,$AB$55,AH183-AI184*AF183+AI184*AF184))</f>
        <v>2.1378091872789717E-2</v>
      </c>
      <c r="AI184" s="87">
        <f t="shared" ca="1" si="158"/>
        <v>5.8303886925809381E-5</v>
      </c>
      <c r="AJ184" s="76" t="str">
        <f t="shared" ca="1" si="181"/>
        <v/>
      </c>
      <c r="AK184" s="76" t="str">
        <f t="shared" ca="1" si="189"/>
        <v/>
      </c>
      <c r="AL184" s="76" t="str">
        <f t="shared" ca="1" si="159"/>
        <v/>
      </c>
      <c r="AM184" s="11">
        <f t="shared" ca="1" si="182"/>
        <v>213.78091872789719</v>
      </c>
      <c r="AN184" s="11">
        <f t="shared" ca="1" si="183"/>
        <v>619.65108200865825</v>
      </c>
      <c r="AO184" s="11">
        <f t="shared" ca="1" si="215"/>
        <v>108.06499453594711</v>
      </c>
      <c r="AP184" s="12">
        <f t="shared" ca="1" si="216"/>
        <v>0.21123520983496541</v>
      </c>
      <c r="AQ184" s="11">
        <f t="shared" ca="1" si="184"/>
        <v>542.17545485938751</v>
      </c>
      <c r="AR184" s="11">
        <f t="shared" ca="1" si="217"/>
        <v>112.4547287903635</v>
      </c>
      <c r="AS184" s="12">
        <f t="shared" ca="1" si="218"/>
        <v>0.2616925876931066</v>
      </c>
      <c r="AT184" s="11">
        <f t="shared" ca="1" si="185"/>
        <v>492.39717042178791</v>
      </c>
      <c r="AU184" s="11">
        <f t="shared" ca="1" si="219"/>
        <v>116.74804670966785</v>
      </c>
      <c r="AV184" s="12">
        <f t="shared" ca="1" si="220"/>
        <v>0.31079014788049419</v>
      </c>
      <c r="AW184" s="10">
        <f t="shared" si="186"/>
        <v>45002</v>
      </c>
      <c r="AX184" s="76">
        <f t="shared" ca="1" si="205"/>
        <v>98775.994677952971</v>
      </c>
      <c r="AY184" s="75">
        <f t="shared" ca="1" si="190"/>
        <v>17.590942055326796</v>
      </c>
      <c r="AZ184" s="75">
        <f t="shared" ca="1" si="187"/>
        <v>11.522447606093344</v>
      </c>
      <c r="BA184" s="75">
        <f t="shared" ca="1" si="206"/>
        <v>6.0684944492334516</v>
      </c>
      <c r="BB184" s="75">
        <f t="shared" ca="1" si="207"/>
        <v>98769.926183503732</v>
      </c>
      <c r="BC184" s="12"/>
      <c r="BD184" s="12"/>
    </row>
    <row r="185" spans="3:56">
      <c r="C185" s="3">
        <f t="shared" si="166"/>
        <v>16</v>
      </c>
      <c r="D185" s="3">
        <f t="shared" si="174"/>
        <v>9</v>
      </c>
      <c r="E185" s="1">
        <f t="shared" si="175"/>
        <v>2034</v>
      </c>
      <c r="F185" s="3">
        <f t="shared" si="167"/>
        <v>72</v>
      </c>
      <c r="G185" s="3">
        <f t="shared" si="176"/>
        <v>181</v>
      </c>
      <c r="H185" s="4">
        <f t="shared" si="203"/>
        <v>107905.32423607007</v>
      </c>
      <c r="L185" s="25" t="str">
        <f t="shared" ca="1" si="169"/>
        <v/>
      </c>
      <c r="M185" s="4">
        <f t="shared" si="170"/>
        <v>107905.32423607007</v>
      </c>
      <c r="N185" s="5">
        <f t="shared" si="210"/>
        <v>2.18E-2</v>
      </c>
      <c r="O185" s="6">
        <f t="shared" si="171"/>
        <v>5.0499999999999996E-2</v>
      </c>
      <c r="P185" s="4">
        <f t="shared" si="164"/>
        <v>454.10157282679484</v>
      </c>
      <c r="Q185" s="7">
        <f t="shared" si="172"/>
        <v>1147.1423660440469</v>
      </c>
      <c r="R185" s="4">
        <f t="shared" si="177"/>
        <v>693.04079321725203</v>
      </c>
      <c r="S185" s="4">
        <f t="shared" si="165"/>
        <v>107212.28344285281</v>
      </c>
      <c r="T185" s="4">
        <f t="shared" si="178"/>
        <v>0</v>
      </c>
      <c r="U185" s="4">
        <f t="shared" si="173"/>
        <v>107212.28344285281</v>
      </c>
      <c r="AE185" s="91" t="str">
        <f t="shared" ca="1" si="191"/>
        <v/>
      </c>
      <c r="AF185" s="70">
        <f t="shared" si="188"/>
        <v>45005</v>
      </c>
      <c r="AG185" s="10">
        <f t="shared" ref="AG185" si="221">AG184+3</f>
        <v>45005</v>
      </c>
      <c r="AH185" s="29">
        <f ca="1">IF(AG185=TODAY()-1,Loan!F155,IF(AG185&gt;$AB$13,$AB$55,AH184-AI185*AF184+AI185*AF185))</f>
        <v>2.155300353356715E-2</v>
      </c>
      <c r="AI185" s="87">
        <f t="shared" ref="AI185:AI248" ca="1" si="222">IF(AG185&lt;TODAY()-1,"",($AB$55-AH184)/($AB$53-AF184))</f>
        <v>5.8303886925812186E-5</v>
      </c>
      <c r="AJ185" s="76" t="str">
        <f t="shared" ca="1" si="181"/>
        <v/>
      </c>
      <c r="AK185" s="76" t="str">
        <f t="shared" ca="1" si="189"/>
        <v/>
      </c>
      <c r="AL185" s="76" t="str">
        <f t="shared" ref="AL185:AL248" ca="1" si="223">IF(AG185&gt;TODAY(),"",(AJ185-AJ179)/7)</f>
        <v/>
      </c>
      <c r="AM185" s="11">
        <f t="shared" ca="1" si="182"/>
        <v>215.5300353356715</v>
      </c>
      <c r="AN185" s="11">
        <f t="shared" ca="1" si="183"/>
        <v>620.58478831104014</v>
      </c>
      <c r="AO185" s="11">
        <f t="shared" ca="1" si="215"/>
        <v>108.998700838329</v>
      </c>
      <c r="AP185" s="12">
        <f t="shared" ca="1" si="216"/>
        <v>0.21306033042609504</v>
      </c>
      <c r="AQ185" s="11">
        <f t="shared" ca="1" si="184"/>
        <v>543.15573170218238</v>
      </c>
      <c r="AR185" s="11">
        <f t="shared" ca="1" si="217"/>
        <v>113.43500563315837</v>
      </c>
      <c r="AS185" s="12">
        <f t="shared" ca="1" si="218"/>
        <v>0.26397378285853923</v>
      </c>
      <c r="AT185" s="11">
        <f t="shared" ca="1" si="185"/>
        <v>493.4221745495077</v>
      </c>
      <c r="AU185" s="11">
        <f t="shared" ca="1" si="219"/>
        <v>117.77305083738764</v>
      </c>
      <c r="AV185" s="12">
        <f t="shared" ca="1" si="220"/>
        <v>0.31351876898731545</v>
      </c>
      <c r="AW185" s="10">
        <f t="shared" si="186"/>
        <v>45005</v>
      </c>
      <c r="AX185" s="76">
        <f t="shared" ca="1" si="205"/>
        <v>98769.926183503732</v>
      </c>
      <c r="AY185" s="75">
        <f t="shared" ca="1" si="190"/>
        <v>17.623795931026361</v>
      </c>
      <c r="AZ185" s="75">
        <f t="shared" ca="1" si="187"/>
        <v>11.56907124146165</v>
      </c>
      <c r="BA185" s="75">
        <f t="shared" ca="1" si="206"/>
        <v>6.0547246895647113</v>
      </c>
      <c r="BB185" s="75">
        <f t="shared" ca="1" si="207"/>
        <v>98763.871458814174</v>
      </c>
      <c r="BC185" s="12"/>
      <c r="BD185" s="12"/>
    </row>
    <row r="186" spans="3:56">
      <c r="C186" s="3">
        <f t="shared" si="166"/>
        <v>16</v>
      </c>
      <c r="D186" s="3">
        <f t="shared" si="174"/>
        <v>10</v>
      </c>
      <c r="E186" s="1">
        <f t="shared" si="175"/>
        <v>2034</v>
      </c>
      <c r="F186" s="3">
        <f t="shared" si="167"/>
        <v>72</v>
      </c>
      <c r="G186" s="3">
        <f t="shared" si="176"/>
        <v>182</v>
      </c>
      <c r="H186" s="4">
        <f t="shared" si="203"/>
        <v>107212.28344285281</v>
      </c>
      <c r="L186" s="25" t="str">
        <f t="shared" ca="1" si="169"/>
        <v/>
      </c>
      <c r="M186" s="4">
        <f t="shared" si="170"/>
        <v>107212.28344285281</v>
      </c>
      <c r="N186" s="5">
        <f t="shared" si="210"/>
        <v>2.18E-2</v>
      </c>
      <c r="O186" s="6">
        <f t="shared" si="171"/>
        <v>5.0499999999999996E-2</v>
      </c>
      <c r="P186" s="4">
        <f t="shared" si="164"/>
        <v>451.1850261553389</v>
      </c>
      <c r="Q186" s="7">
        <f t="shared" si="172"/>
        <v>1147.1423660440473</v>
      </c>
      <c r="R186" s="4">
        <f t="shared" si="177"/>
        <v>695.95733988870847</v>
      </c>
      <c r="S186" s="4">
        <f t="shared" si="165"/>
        <v>106516.3261029641</v>
      </c>
      <c r="T186" s="4">
        <f t="shared" si="178"/>
        <v>0</v>
      </c>
      <c r="U186" s="4">
        <f t="shared" si="173"/>
        <v>106516.3261029641</v>
      </c>
      <c r="AE186" s="91" t="str">
        <f t="shared" ca="1" si="191"/>
        <v/>
      </c>
      <c r="AF186" s="70">
        <f t="shared" si="188"/>
        <v>45006</v>
      </c>
      <c r="AG186" s="10">
        <f t="shared" ref="AG186" si="224">AG185+1</f>
        <v>45006</v>
      </c>
      <c r="AH186" s="29">
        <f ca="1">IF(AG186=TODAY()-1,Loan!F156,IF(AG186&gt;$AB$13,$AB$55,AH185-AI186*AF185+AI186*AF186))</f>
        <v>2.1611307420493109E-2</v>
      </c>
      <c r="AI186" s="87">
        <f t="shared" ca="1" si="222"/>
        <v>5.830388692581222E-5</v>
      </c>
      <c r="AJ186" s="76" t="str">
        <f t="shared" ca="1" si="181"/>
        <v/>
      </c>
      <c r="AK186" s="76" t="str">
        <f t="shared" ca="1" si="189"/>
        <v/>
      </c>
      <c r="AL186" s="76" t="str">
        <f t="shared" ca="1" si="223"/>
        <v/>
      </c>
      <c r="AM186" s="11">
        <f t="shared" ca="1" si="182"/>
        <v>216.11307420493108</v>
      </c>
      <c r="AN186" s="11">
        <f t="shared" ca="1" si="183"/>
        <v>620.89619850199756</v>
      </c>
      <c r="AO186" s="11">
        <f t="shared" ca="1" si="215"/>
        <v>109.31011102928642</v>
      </c>
      <c r="AP186" s="12">
        <f t="shared" ca="1" si="216"/>
        <v>0.21366904555456115</v>
      </c>
      <c r="AQ186" s="11">
        <f t="shared" ca="1" si="184"/>
        <v>543.48270049053167</v>
      </c>
      <c r="AR186" s="11">
        <f t="shared" ca="1" si="217"/>
        <v>113.76197442150766</v>
      </c>
      <c r="AS186" s="12">
        <f t="shared" ca="1" si="218"/>
        <v>0.26473466956591385</v>
      </c>
      <c r="AT186" s="11">
        <f t="shared" ca="1" si="185"/>
        <v>493.76408242767883</v>
      </c>
      <c r="AU186" s="11">
        <f t="shared" ca="1" si="219"/>
        <v>118.11495871555877</v>
      </c>
      <c r="AV186" s="12">
        <f t="shared" ca="1" si="220"/>
        <v>0.31442894781268427</v>
      </c>
      <c r="AW186" s="10">
        <f t="shared" si="186"/>
        <v>45006</v>
      </c>
      <c r="AX186" s="76">
        <f t="shared" ca="1" si="205"/>
        <v>98763.871458814174</v>
      </c>
      <c r="AY186" s="75">
        <f t="shared" ca="1" si="190"/>
        <v>17.631153329661384</v>
      </c>
      <c r="AZ186" s="75">
        <f t="shared" ca="1" si="187"/>
        <v>11.584138254962628</v>
      </c>
      <c r="BA186" s="75">
        <f t="shared" ca="1" si="206"/>
        <v>6.0470150746987557</v>
      </c>
      <c r="BB186" s="75">
        <f t="shared" ca="1" si="207"/>
        <v>98757.824443739475</v>
      </c>
      <c r="BC186" s="12"/>
      <c r="BD186" s="12"/>
    </row>
    <row r="187" spans="3:56">
      <c r="C187" s="3">
        <f t="shared" si="166"/>
        <v>16</v>
      </c>
      <c r="D187" s="3">
        <f t="shared" si="174"/>
        <v>11</v>
      </c>
      <c r="E187" s="1">
        <f t="shared" si="175"/>
        <v>2034</v>
      </c>
      <c r="F187" s="3">
        <f t="shared" si="167"/>
        <v>72</v>
      </c>
      <c r="G187" s="3">
        <f t="shared" si="176"/>
        <v>183</v>
      </c>
      <c r="H187" s="4">
        <f t="shared" si="203"/>
        <v>106516.3261029641</v>
      </c>
      <c r="L187" s="25" t="str">
        <f t="shared" ca="1" si="169"/>
        <v/>
      </c>
      <c r="M187" s="4">
        <f t="shared" si="170"/>
        <v>106516.3261029641</v>
      </c>
      <c r="N187" s="5">
        <f t="shared" si="210"/>
        <v>2.18E-2</v>
      </c>
      <c r="O187" s="6">
        <f t="shared" si="171"/>
        <v>5.0499999999999996E-2</v>
      </c>
      <c r="P187" s="4">
        <f t="shared" si="164"/>
        <v>448.2562056833072</v>
      </c>
      <c r="Q187" s="7">
        <f t="shared" si="172"/>
        <v>1147.1423660440464</v>
      </c>
      <c r="R187" s="4">
        <f t="shared" si="177"/>
        <v>698.88616036073927</v>
      </c>
      <c r="S187" s="4">
        <f t="shared" si="165"/>
        <v>105817.43994260336</v>
      </c>
      <c r="T187" s="4">
        <f t="shared" si="178"/>
        <v>0</v>
      </c>
      <c r="U187" s="4">
        <f t="shared" si="173"/>
        <v>105817.43994260336</v>
      </c>
      <c r="AE187" s="91" t="str">
        <f t="shared" ca="1" si="191"/>
        <v/>
      </c>
      <c r="AF187" s="70">
        <f t="shared" si="188"/>
        <v>45007</v>
      </c>
      <c r="AG187" s="10">
        <f t="shared" si="163"/>
        <v>45007</v>
      </c>
      <c r="AH187" s="29">
        <f ca="1">IF(AG187=TODAY()-1,Loan!F157,IF(AG187&gt;$AB$13,$AB$55,AH186-AI187*AF186+AI187*AF187))</f>
        <v>2.1669611307418624E-2</v>
      </c>
      <c r="AI187" s="87">
        <f t="shared" ca="1" si="222"/>
        <v>5.830388692581077E-5</v>
      </c>
      <c r="AJ187" s="76" t="str">
        <f t="shared" ca="1" si="181"/>
        <v/>
      </c>
      <c r="AK187" s="76" t="str">
        <f t="shared" ca="1" si="189"/>
        <v/>
      </c>
      <c r="AL187" s="76" t="str">
        <f t="shared" ca="1" si="223"/>
        <v/>
      </c>
      <c r="AM187" s="11">
        <f t="shared" ca="1" si="182"/>
        <v>216.69611307418623</v>
      </c>
      <c r="AN187" s="11">
        <f t="shared" ca="1" si="183"/>
        <v>621.20769604185671</v>
      </c>
      <c r="AO187" s="11">
        <f t="shared" ca="1" si="215"/>
        <v>109.62160856914556</v>
      </c>
      <c r="AP187" s="12">
        <f t="shared" ca="1" si="216"/>
        <v>0.21427793142438215</v>
      </c>
      <c r="AQ187" s="11">
        <f t="shared" ca="1" si="184"/>
        <v>543.80977414496942</v>
      </c>
      <c r="AR187" s="11">
        <f t="shared" ca="1" si="217"/>
        <v>114.08904807594541</v>
      </c>
      <c r="AS187" s="12">
        <f t="shared" ca="1" si="218"/>
        <v>0.26549580030640607</v>
      </c>
      <c r="AT187" s="11">
        <f t="shared" ca="1" si="185"/>
        <v>494.10611013572071</v>
      </c>
      <c r="AU187" s="11">
        <f t="shared" ca="1" si="219"/>
        <v>118.45698642360065</v>
      </c>
      <c r="AV187" s="12">
        <f t="shared" ca="1" si="220"/>
        <v>0.31533944563219735</v>
      </c>
      <c r="AW187" s="10">
        <f t="shared" si="186"/>
        <v>45007</v>
      </c>
      <c r="AX187" s="76">
        <f t="shared" ca="1" si="205"/>
        <v>98757.824443739475</v>
      </c>
      <c r="AY187" s="75">
        <f t="shared" ca="1" si="190"/>
        <v>17.640674305697331</v>
      </c>
      <c r="AZ187" s="75">
        <f t="shared" ca="1" si="187"/>
        <v>11.599204239642185</v>
      </c>
      <c r="BA187" s="75">
        <f t="shared" ca="1" si="206"/>
        <v>6.0414700660551457</v>
      </c>
      <c r="BB187" s="75">
        <f t="shared" ca="1" si="207"/>
        <v>98751.782973673413</v>
      </c>
      <c r="BC187" s="12"/>
      <c r="BD187" s="12"/>
    </row>
    <row r="188" spans="3:56">
      <c r="C188" s="3">
        <f t="shared" si="166"/>
        <v>16</v>
      </c>
      <c r="D188" s="3">
        <f t="shared" si="174"/>
        <v>12</v>
      </c>
      <c r="E188" s="1">
        <f t="shared" si="175"/>
        <v>2034</v>
      </c>
      <c r="F188" s="3">
        <f t="shared" si="167"/>
        <v>72</v>
      </c>
      <c r="G188" s="3">
        <f t="shared" si="176"/>
        <v>184</v>
      </c>
      <c r="H188" s="4">
        <f t="shared" si="203"/>
        <v>105817.43994260336</v>
      </c>
      <c r="L188" s="25" t="str">
        <f t="shared" ca="1" si="169"/>
        <v/>
      </c>
      <c r="M188" s="4">
        <f t="shared" si="170"/>
        <v>105817.43994260336</v>
      </c>
      <c r="N188" s="5">
        <f t="shared" si="210"/>
        <v>2.18E-2</v>
      </c>
      <c r="O188" s="6">
        <f t="shared" si="171"/>
        <v>5.0499999999999996E-2</v>
      </c>
      <c r="P188" s="4">
        <f t="shared" si="164"/>
        <v>445.31505975845579</v>
      </c>
      <c r="Q188" s="7">
        <f t="shared" si="172"/>
        <v>1147.1423660440469</v>
      </c>
      <c r="R188" s="4">
        <f t="shared" si="177"/>
        <v>701.82730628559102</v>
      </c>
      <c r="S188" s="4">
        <f t="shared" si="165"/>
        <v>105115.61263631778</v>
      </c>
      <c r="T188" s="4">
        <f t="shared" si="178"/>
        <v>0</v>
      </c>
      <c r="U188" s="4">
        <f t="shared" si="173"/>
        <v>105115.61263631778</v>
      </c>
      <c r="AE188" s="91" t="str">
        <f t="shared" ca="1" si="191"/>
        <v/>
      </c>
      <c r="AF188" s="70">
        <f t="shared" si="188"/>
        <v>45008</v>
      </c>
      <c r="AG188" s="10">
        <f t="shared" si="163"/>
        <v>45008</v>
      </c>
      <c r="AH188" s="29">
        <f ca="1">IF(AG188=TODAY()-1,Loan!F158,IF(AG188&gt;$AB$13,$AB$55,AH187-AI188*AF187+AI188*AF188))</f>
        <v>2.1727915194344583E-2</v>
      </c>
      <c r="AI188" s="87">
        <f t="shared" ca="1" si="222"/>
        <v>5.8303886925813731E-5</v>
      </c>
      <c r="AJ188" s="76" t="str">
        <f t="shared" ca="1" si="181"/>
        <v/>
      </c>
      <c r="AK188" s="76" t="str">
        <f t="shared" ca="1" si="189"/>
        <v/>
      </c>
      <c r="AL188" s="76" t="str">
        <f t="shared" ca="1" si="223"/>
        <v/>
      </c>
      <c r="AM188" s="11">
        <f t="shared" ca="1" si="182"/>
        <v>217.27915194344581</v>
      </c>
      <c r="AN188" s="11">
        <f t="shared" ca="1" si="183"/>
        <v>621.51928091280365</v>
      </c>
      <c r="AO188" s="11">
        <f t="shared" ca="1" si="215"/>
        <v>109.93319344009251</v>
      </c>
      <c r="AP188" s="12">
        <f t="shared" ca="1" si="216"/>
        <v>0.21488698800073708</v>
      </c>
      <c r="AQ188" s="11">
        <f t="shared" ca="1" si="184"/>
        <v>544.13695263281795</v>
      </c>
      <c r="AR188" s="11">
        <f t="shared" ca="1" si="217"/>
        <v>114.41622656379394</v>
      </c>
      <c r="AS188" s="12">
        <f t="shared" ca="1" si="218"/>
        <v>0.26625717500397178</v>
      </c>
      <c r="AT188" s="11">
        <f t="shared" ca="1" si="185"/>
        <v>494.44825762076658</v>
      </c>
      <c r="AU188" s="11">
        <f t="shared" ca="1" si="219"/>
        <v>118.79913390864652</v>
      </c>
      <c r="AV188" s="12">
        <f t="shared" ca="1" si="220"/>
        <v>0.31625026230512021</v>
      </c>
      <c r="AW188" s="10">
        <f t="shared" si="186"/>
        <v>45008</v>
      </c>
      <c r="AX188" s="76">
        <f t="shared" ca="1" si="205"/>
        <v>98751.782973673413</v>
      </c>
      <c r="AY188" s="75">
        <f t="shared" ca="1" si="190"/>
        <v>17.650198394301746</v>
      </c>
      <c r="AZ188" s="75">
        <f t="shared" ca="1" si="187"/>
        <v>11.614268944614176</v>
      </c>
      <c r="BA188" s="75">
        <f t="shared" ca="1" si="206"/>
        <v>6.0359294496875702</v>
      </c>
      <c r="BB188" s="75">
        <f t="shared" ca="1" si="207"/>
        <v>98745.747044223725</v>
      </c>
      <c r="BC188" s="12"/>
      <c r="BD188" s="12"/>
    </row>
    <row r="189" spans="3:56">
      <c r="C189" s="3">
        <f t="shared" si="166"/>
        <v>16</v>
      </c>
      <c r="D189" s="3">
        <f t="shared" si="174"/>
        <v>1</v>
      </c>
      <c r="E189" s="1">
        <f t="shared" si="175"/>
        <v>2035</v>
      </c>
      <c r="F189" s="3">
        <f t="shared" si="167"/>
        <v>72</v>
      </c>
      <c r="G189" s="3">
        <f t="shared" si="176"/>
        <v>185</v>
      </c>
      <c r="H189" s="4">
        <f t="shared" si="203"/>
        <v>105115.61263631778</v>
      </c>
      <c r="L189" s="25" t="str">
        <f t="shared" ca="1" si="169"/>
        <v/>
      </c>
      <c r="M189" s="4">
        <f t="shared" si="170"/>
        <v>105115.61263631778</v>
      </c>
      <c r="N189" s="5">
        <f t="shared" si="210"/>
        <v>2.18E-2</v>
      </c>
      <c r="O189" s="6">
        <f t="shared" si="171"/>
        <v>5.0499999999999996E-2</v>
      </c>
      <c r="P189" s="4">
        <f t="shared" si="164"/>
        <v>442.36153651117064</v>
      </c>
      <c r="Q189" s="7">
        <f t="shared" si="172"/>
        <v>1147.1423660440475</v>
      </c>
      <c r="R189" s="4">
        <f t="shared" si="177"/>
        <v>704.78082953287685</v>
      </c>
      <c r="S189" s="4">
        <f t="shared" si="165"/>
        <v>104410.8318067849</v>
      </c>
      <c r="T189" s="4">
        <f t="shared" si="178"/>
        <v>0</v>
      </c>
      <c r="U189" s="4">
        <f t="shared" si="173"/>
        <v>104410.8318067849</v>
      </c>
      <c r="AE189" s="91" t="str">
        <f t="shared" ca="1" si="191"/>
        <v/>
      </c>
      <c r="AF189" s="70">
        <f t="shared" si="188"/>
        <v>45009</v>
      </c>
      <c r="AG189" s="10">
        <f t="shared" si="163"/>
        <v>45009</v>
      </c>
      <c r="AH189" s="29">
        <f ca="1">IF(AG189=TODAY()-1,Loan!F159,IF(AG189&gt;$AB$13,$AB$55,AH188-AI189*AF188+AI189*AF189))</f>
        <v>2.1786219081270097E-2</v>
      </c>
      <c r="AI189" s="87">
        <f t="shared" ca="1" si="222"/>
        <v>5.8303886925812267E-5</v>
      </c>
      <c r="AJ189" s="76" t="str">
        <f t="shared" ca="1" si="181"/>
        <v/>
      </c>
      <c r="AK189" s="76" t="str">
        <f t="shared" ca="1" si="189"/>
        <v/>
      </c>
      <c r="AL189" s="76" t="str">
        <f t="shared" ca="1" si="223"/>
        <v/>
      </c>
      <c r="AM189" s="11">
        <f t="shared" ca="1" si="182"/>
        <v>217.86219081270099</v>
      </c>
      <c r="AN189" s="11">
        <f t="shared" ca="1" si="183"/>
        <v>621.83095309709518</v>
      </c>
      <c r="AO189" s="11">
        <f t="shared" ca="1" si="215"/>
        <v>110.24486562438403</v>
      </c>
      <c r="AP189" s="12">
        <f t="shared" ca="1" si="216"/>
        <v>0.21549621524894319</v>
      </c>
      <c r="AQ189" s="11">
        <f t="shared" ca="1" si="184"/>
        <v>544.46423592143583</v>
      </c>
      <c r="AR189" s="11">
        <f t="shared" ca="1" si="217"/>
        <v>114.74350985241182</v>
      </c>
      <c r="AS189" s="12">
        <f t="shared" ca="1" si="218"/>
        <v>0.2670187935826514</v>
      </c>
      <c r="AT189" s="11">
        <f t="shared" ca="1" si="185"/>
        <v>494.7905248299586</v>
      </c>
      <c r="AU189" s="11">
        <f t="shared" ca="1" si="219"/>
        <v>119.14140111783854</v>
      </c>
      <c r="AV189" s="12">
        <f t="shared" ca="1" si="220"/>
        <v>0.31716139769074225</v>
      </c>
      <c r="AW189" s="10">
        <f t="shared" si="186"/>
        <v>45009</v>
      </c>
      <c r="AX189" s="76">
        <f t="shared" ca="1" si="205"/>
        <v>98745.747044223725</v>
      </c>
      <c r="AY189" s="75">
        <f t="shared" ca="1" si="190"/>
        <v>17.659725594790366</v>
      </c>
      <c r="AZ189" s="75">
        <f t="shared" ca="1" si="187"/>
        <v>11.629332372018302</v>
      </c>
      <c r="BA189" s="75">
        <f t="shared" ca="1" si="206"/>
        <v>6.030393222772064</v>
      </c>
      <c r="BB189" s="75">
        <f t="shared" ca="1" si="207"/>
        <v>98739.716651000956</v>
      </c>
      <c r="BC189" s="12"/>
      <c r="BD189" s="12"/>
    </row>
    <row r="190" spans="3:56">
      <c r="C190" s="3">
        <f t="shared" si="166"/>
        <v>16</v>
      </c>
      <c r="D190" s="3">
        <f t="shared" si="174"/>
        <v>2</v>
      </c>
      <c r="E190" s="1">
        <f t="shared" si="175"/>
        <v>2035</v>
      </c>
      <c r="F190" s="3">
        <f t="shared" si="167"/>
        <v>73</v>
      </c>
      <c r="G190" s="3">
        <f t="shared" si="176"/>
        <v>186</v>
      </c>
      <c r="H190" s="4">
        <f t="shared" si="203"/>
        <v>104410.8318067849</v>
      </c>
      <c r="L190" s="25" t="str">
        <f t="shared" ca="1" si="169"/>
        <v/>
      </c>
      <c r="M190" s="4">
        <f t="shared" si="170"/>
        <v>104410.8318067849</v>
      </c>
      <c r="N190" s="5">
        <f t="shared" si="210"/>
        <v>2.18E-2</v>
      </c>
      <c r="O190" s="6">
        <f t="shared" si="171"/>
        <v>5.0499999999999996E-2</v>
      </c>
      <c r="P190" s="4">
        <f t="shared" si="164"/>
        <v>439.39558385355309</v>
      </c>
      <c r="Q190" s="7">
        <f t="shared" si="172"/>
        <v>1147.1423660440478</v>
      </c>
      <c r="R190" s="4">
        <f t="shared" si="177"/>
        <v>707.74678219049474</v>
      </c>
      <c r="S190" s="4">
        <f t="shared" si="165"/>
        <v>103703.0850245944</v>
      </c>
      <c r="T190" s="4">
        <f t="shared" si="178"/>
        <v>0</v>
      </c>
      <c r="U190" s="4">
        <f t="shared" si="173"/>
        <v>103703.0850245944</v>
      </c>
      <c r="AE190" s="91" t="str">
        <f t="shared" ca="1" si="191"/>
        <v/>
      </c>
      <c r="AF190" s="70">
        <f t="shared" si="188"/>
        <v>45012</v>
      </c>
      <c r="AG190" s="10">
        <f t="shared" ref="AG190" si="225">AG189+3</f>
        <v>45012</v>
      </c>
      <c r="AH190" s="29">
        <f ca="1">IF(AG190=TODAY()-1,Loan!F160,IF(AG190&gt;$AB$13,$AB$55,AH189-AI190*AF189+AI190*AF190))</f>
        <v>2.196113074204753E-2</v>
      </c>
      <c r="AI190" s="87">
        <f t="shared" ca="1" si="222"/>
        <v>5.8303886925815296E-5</v>
      </c>
      <c r="AJ190" s="76" t="str">
        <f t="shared" ca="1" si="181"/>
        <v/>
      </c>
      <c r="AK190" s="76" t="str">
        <f t="shared" ca="1" si="189"/>
        <v/>
      </c>
      <c r="AL190" s="76" t="str">
        <f t="shared" ca="1" si="223"/>
        <v/>
      </c>
      <c r="AM190" s="11">
        <f t="shared" ca="1" si="182"/>
        <v>219.6113074204753</v>
      </c>
      <c r="AN190" s="11">
        <f t="shared" ca="1" si="183"/>
        <v>622.76649335203365</v>
      </c>
      <c r="AO190" s="11">
        <f t="shared" ca="1" si="215"/>
        <v>111.18040587932251</v>
      </c>
      <c r="AP190" s="12">
        <f t="shared" ca="1" si="216"/>
        <v>0.21732492067672393</v>
      </c>
      <c r="AQ190" s="11">
        <f t="shared" ca="1" si="184"/>
        <v>545.44671426481625</v>
      </c>
      <c r="AR190" s="11">
        <f t="shared" ca="1" si="217"/>
        <v>115.72598819579224</v>
      </c>
      <c r="AS190" s="12">
        <f t="shared" ca="1" si="218"/>
        <v>0.26930511184420675</v>
      </c>
      <c r="AT190" s="11">
        <f t="shared" ca="1" si="185"/>
        <v>495.81804427304212</v>
      </c>
      <c r="AU190" s="11">
        <f t="shared" ca="1" si="219"/>
        <v>120.16892056092206</v>
      </c>
      <c r="AV190" s="12">
        <f t="shared" ca="1" si="220"/>
        <v>0.31989671471459069</v>
      </c>
      <c r="AW190" s="10">
        <f t="shared" si="186"/>
        <v>45012</v>
      </c>
      <c r="AX190" s="76">
        <f t="shared" ca="1" si="205"/>
        <v>98739.716651000956</v>
      </c>
      <c r="AY190" s="75">
        <f t="shared" ca="1" si="190"/>
        <v>17.692639287785628</v>
      </c>
      <c r="AZ190" s="75">
        <f t="shared" ca="1" si="187"/>
        <v>11.675939232346796</v>
      </c>
      <c r="BA190" s="75">
        <f t="shared" ca="1" si="206"/>
        <v>6.0167000554388324</v>
      </c>
      <c r="BB190" s="75">
        <f t="shared" ca="1" si="207"/>
        <v>98733.69995094552</v>
      </c>
      <c r="BC190" s="12"/>
      <c r="BD190" s="12"/>
    </row>
    <row r="191" spans="3:56">
      <c r="C191" s="3">
        <f t="shared" si="166"/>
        <v>16</v>
      </c>
      <c r="D191" s="3">
        <f t="shared" si="174"/>
        <v>3</v>
      </c>
      <c r="E191" s="1">
        <f t="shared" si="175"/>
        <v>2035</v>
      </c>
      <c r="F191" s="3">
        <f t="shared" si="167"/>
        <v>73</v>
      </c>
      <c r="G191" s="3">
        <f t="shared" si="176"/>
        <v>187</v>
      </c>
      <c r="H191" s="4">
        <f t="shared" si="203"/>
        <v>103703.0850245944</v>
      </c>
      <c r="L191" s="25" t="str">
        <f t="shared" ca="1" si="169"/>
        <v/>
      </c>
      <c r="M191" s="4">
        <f t="shared" si="170"/>
        <v>103703.0850245944</v>
      </c>
      <c r="N191" s="5">
        <f t="shared" si="210"/>
        <v>2.18E-2</v>
      </c>
      <c r="O191" s="6">
        <f t="shared" si="171"/>
        <v>5.0499999999999996E-2</v>
      </c>
      <c r="P191" s="4">
        <f t="shared" si="164"/>
        <v>436.41714947850141</v>
      </c>
      <c r="Q191" s="7">
        <f t="shared" si="172"/>
        <v>1147.1423660440478</v>
      </c>
      <c r="R191" s="4">
        <f t="shared" si="177"/>
        <v>710.72521656554636</v>
      </c>
      <c r="S191" s="4">
        <f t="shared" si="165"/>
        <v>102992.35980802885</v>
      </c>
      <c r="T191" s="4">
        <f t="shared" si="178"/>
        <v>0</v>
      </c>
      <c r="U191" s="4">
        <f t="shared" si="173"/>
        <v>102992.35980802885</v>
      </c>
      <c r="AE191" s="91" t="str">
        <f t="shared" ca="1" si="191"/>
        <v/>
      </c>
      <c r="AF191" s="70">
        <f t="shared" si="188"/>
        <v>45013</v>
      </c>
      <c r="AG191" s="10">
        <f t="shared" ref="AG191" si="226">AG190+1</f>
        <v>45013</v>
      </c>
      <c r="AH191" s="29">
        <f ca="1">IF(AG191=TODAY()-1,Loan!F161,IF(AG191&gt;$AB$13,$AB$55,AH190-AI191*AF190+AI191*AF191))</f>
        <v>2.2019434628973489E-2</v>
      </c>
      <c r="AI191" s="87">
        <f t="shared" ca="1" si="222"/>
        <v>5.8303886925815439E-5</v>
      </c>
      <c r="AJ191" s="76" t="str">
        <f t="shared" ca="1" si="181"/>
        <v/>
      </c>
      <c r="AK191" s="76" t="str">
        <f t="shared" ca="1" si="189"/>
        <v/>
      </c>
      <c r="AL191" s="76" t="str">
        <f t="shared" ca="1" si="223"/>
        <v/>
      </c>
      <c r="AM191" s="11">
        <f t="shared" ca="1" si="182"/>
        <v>220.19434628973488</v>
      </c>
      <c r="AN191" s="11">
        <f t="shared" ca="1" si="183"/>
        <v>623.07851461157736</v>
      </c>
      <c r="AO191" s="11">
        <f t="shared" ca="1" si="215"/>
        <v>111.49242713886622</v>
      </c>
      <c r="AP191" s="12">
        <f t="shared" ca="1" si="216"/>
        <v>0.21793483026415064</v>
      </c>
      <c r="AQ191" s="11">
        <f t="shared" ca="1" si="184"/>
        <v>545.77441642924373</v>
      </c>
      <c r="AR191" s="11">
        <f t="shared" ca="1" si="217"/>
        <v>116.05369036021972</v>
      </c>
      <c r="AS191" s="12">
        <f t="shared" ca="1" si="218"/>
        <v>0.27006770518575957</v>
      </c>
      <c r="AT191" s="11">
        <f t="shared" ca="1" si="185"/>
        <v>496.16078984921637</v>
      </c>
      <c r="AU191" s="11">
        <f t="shared" ca="1" si="219"/>
        <v>120.51166613709631</v>
      </c>
      <c r="AV191" s="12">
        <f t="shared" ca="1" si="220"/>
        <v>0.32080912354117674</v>
      </c>
      <c r="AW191" s="10">
        <f t="shared" si="186"/>
        <v>45013</v>
      </c>
      <c r="AX191" s="76">
        <f t="shared" ca="1" si="205"/>
        <v>98733.69995094552</v>
      </c>
      <c r="AY191" s="75">
        <f t="shared" ca="1" si="190"/>
        <v>17.700024151143435</v>
      </c>
      <c r="AZ191" s="75">
        <f t="shared" ca="1" si="187"/>
        <v>11.69099915262075</v>
      </c>
      <c r="BA191" s="75">
        <f t="shared" ca="1" si="206"/>
        <v>6.0090249985226851</v>
      </c>
      <c r="BB191" s="75">
        <f t="shared" ca="1" si="207"/>
        <v>98727.690925946998</v>
      </c>
      <c r="BC191" s="12"/>
      <c r="BD191" s="12"/>
    </row>
    <row r="192" spans="3:56">
      <c r="C192" s="3">
        <f t="shared" si="166"/>
        <v>16</v>
      </c>
      <c r="D192" s="3">
        <f t="shared" si="174"/>
        <v>4</v>
      </c>
      <c r="E192" s="1">
        <f t="shared" si="175"/>
        <v>2035</v>
      </c>
      <c r="F192" s="3">
        <f t="shared" si="167"/>
        <v>73</v>
      </c>
      <c r="G192" s="3">
        <f t="shared" si="176"/>
        <v>188</v>
      </c>
      <c r="H192" s="4">
        <f t="shared" si="203"/>
        <v>102992.35980802885</v>
      </c>
      <c r="L192" s="25" t="str">
        <f t="shared" ca="1" si="169"/>
        <v/>
      </c>
      <c r="M192" s="4">
        <f t="shared" si="170"/>
        <v>102992.35980802885</v>
      </c>
      <c r="N192" s="5">
        <f t="shared" si="210"/>
        <v>2.18E-2</v>
      </c>
      <c r="O192" s="6">
        <f t="shared" si="171"/>
        <v>5.0499999999999996E-2</v>
      </c>
      <c r="P192" s="4">
        <f t="shared" si="164"/>
        <v>433.42618085878803</v>
      </c>
      <c r="Q192" s="7">
        <f t="shared" si="172"/>
        <v>1147.1423660440478</v>
      </c>
      <c r="R192" s="4">
        <f t="shared" si="177"/>
        <v>713.71618518525975</v>
      </c>
      <c r="S192" s="4">
        <f t="shared" si="165"/>
        <v>102278.64362284359</v>
      </c>
      <c r="T192" s="4">
        <f t="shared" si="178"/>
        <v>0</v>
      </c>
      <c r="U192" s="4">
        <f t="shared" si="173"/>
        <v>102278.64362284359</v>
      </c>
      <c r="AE192" s="91" t="str">
        <f t="shared" ca="1" si="191"/>
        <v/>
      </c>
      <c r="AF192" s="70">
        <f t="shared" si="188"/>
        <v>45014</v>
      </c>
      <c r="AG192" s="10">
        <f t="shared" si="163"/>
        <v>45014</v>
      </c>
      <c r="AH192" s="29">
        <f ca="1">IF(AG192=TODAY()-1,Loan!F162,IF(AG192&gt;$AB$13,$AB$55,AH191-AI192*AF191+AI192*AF192))</f>
        <v>2.2077738515899448E-2</v>
      </c>
      <c r="AI192" s="87">
        <f t="shared" ca="1" si="222"/>
        <v>5.8303886925813914E-5</v>
      </c>
      <c r="AJ192" s="76" t="str">
        <f t="shared" ca="1" si="181"/>
        <v/>
      </c>
      <c r="AK192" s="76" t="str">
        <f t="shared" ca="1" si="189"/>
        <v/>
      </c>
      <c r="AL192" s="76" t="str">
        <f t="shared" ca="1" si="223"/>
        <v/>
      </c>
      <c r="AM192" s="11">
        <f t="shared" ca="1" si="182"/>
        <v>220.77738515899449</v>
      </c>
      <c r="AN192" s="11">
        <f t="shared" ca="1" si="183"/>
        <v>623.39062309529936</v>
      </c>
      <c r="AO192" s="11">
        <f t="shared" ca="1" si="215"/>
        <v>111.80453562258822</v>
      </c>
      <c r="AP192" s="12">
        <f t="shared" ca="1" si="216"/>
        <v>0.21854491034913465</v>
      </c>
      <c r="AQ192" s="11">
        <f t="shared" ca="1" si="184"/>
        <v>546.10222323064431</v>
      </c>
      <c r="AR192" s="11">
        <f t="shared" ca="1" si="217"/>
        <v>116.3814971616203</v>
      </c>
      <c r="AS192" s="12">
        <f t="shared" ca="1" si="218"/>
        <v>0.27083054202725726</v>
      </c>
      <c r="AT192" s="11">
        <f t="shared" ca="1" si="185"/>
        <v>496.50365488451666</v>
      </c>
      <c r="AU192" s="11">
        <f t="shared" ca="1" si="219"/>
        <v>120.85453117239661</v>
      </c>
      <c r="AV192" s="12">
        <f t="shared" ca="1" si="220"/>
        <v>0.32172185037496287</v>
      </c>
      <c r="AW192" s="10">
        <f t="shared" si="186"/>
        <v>45014</v>
      </c>
      <c r="AX192" s="76">
        <f t="shared" ca="1" si="205"/>
        <v>98727.690925946998</v>
      </c>
      <c r="AY192" s="75">
        <f t="shared" ca="1" si="190"/>
        <v>17.709568064856605</v>
      </c>
      <c r="AZ192" s="75">
        <f t="shared" ca="1" si="187"/>
        <v>11.70605806074431</v>
      </c>
      <c r="BA192" s="75">
        <f t="shared" ca="1" si="206"/>
        <v>6.0035100041122949</v>
      </c>
      <c r="BB192" s="75">
        <f t="shared" ca="1" si="207"/>
        <v>98721.687415942884</v>
      </c>
      <c r="BC192" s="12"/>
      <c r="BD192" s="12"/>
    </row>
    <row r="193" spans="3:56">
      <c r="C193" s="3">
        <f t="shared" si="166"/>
        <v>16</v>
      </c>
      <c r="D193" s="3">
        <f t="shared" si="174"/>
        <v>5</v>
      </c>
      <c r="E193" s="1">
        <f t="shared" si="175"/>
        <v>2035</v>
      </c>
      <c r="F193" s="3">
        <f t="shared" si="167"/>
        <v>73</v>
      </c>
      <c r="G193" s="3">
        <f t="shared" si="176"/>
        <v>189</v>
      </c>
      <c r="H193" s="4">
        <f t="shared" si="203"/>
        <v>102278.64362284359</v>
      </c>
      <c r="L193" s="25" t="str">
        <f t="shared" ca="1" si="169"/>
        <v/>
      </c>
      <c r="M193" s="4">
        <f t="shared" si="170"/>
        <v>102278.64362284359</v>
      </c>
      <c r="N193" s="5">
        <f t="shared" si="210"/>
        <v>2.18E-2</v>
      </c>
      <c r="O193" s="6">
        <f t="shared" si="171"/>
        <v>5.0499999999999996E-2</v>
      </c>
      <c r="P193" s="4">
        <f t="shared" si="164"/>
        <v>430.42262524613346</v>
      </c>
      <c r="Q193" s="7">
        <f t="shared" si="172"/>
        <v>1147.142366044048</v>
      </c>
      <c r="R193" s="4">
        <f t="shared" si="177"/>
        <v>716.71974079791448</v>
      </c>
      <c r="S193" s="4">
        <f t="shared" si="165"/>
        <v>101561.92388204568</v>
      </c>
      <c r="T193" s="4">
        <f t="shared" si="178"/>
        <v>0</v>
      </c>
      <c r="U193" s="4">
        <f t="shared" si="173"/>
        <v>101561.92388204568</v>
      </c>
      <c r="AE193" s="91" t="str">
        <f t="shared" ca="1" si="191"/>
        <v/>
      </c>
      <c r="AF193" s="70">
        <f t="shared" si="188"/>
        <v>45015</v>
      </c>
      <c r="AG193" s="10">
        <f t="shared" si="163"/>
        <v>45015</v>
      </c>
      <c r="AH193" s="29">
        <f ca="1">IF(AG193=TODAY()-1,Loan!F163,IF(AG193&gt;$AB$13,$AB$55,AH192-AI193*AF192+AI193*AF193))</f>
        <v>2.2136042402824962E-2</v>
      </c>
      <c r="AI193" s="87">
        <f t="shared" ca="1" si="222"/>
        <v>5.8303886925812355E-5</v>
      </c>
      <c r="AJ193" s="76" t="str">
        <f t="shared" ca="1" si="181"/>
        <v/>
      </c>
      <c r="AK193" s="76" t="str">
        <f t="shared" ca="1" si="189"/>
        <v/>
      </c>
      <c r="AL193" s="76" t="str">
        <f t="shared" ca="1" si="223"/>
        <v/>
      </c>
      <c r="AM193" s="11">
        <f t="shared" ca="1" si="182"/>
        <v>221.36042402824961</v>
      </c>
      <c r="AN193" s="11">
        <f t="shared" ca="1" si="183"/>
        <v>623.70281878531773</v>
      </c>
      <c r="AO193" s="11">
        <f t="shared" ca="1" si="215"/>
        <v>112.11673131260659</v>
      </c>
      <c r="AP193" s="12">
        <f t="shared" ca="1" si="216"/>
        <v>0.21915516089672216</v>
      </c>
      <c r="AQ193" s="11">
        <f t="shared" ca="1" si="184"/>
        <v>546.43013463617103</v>
      </c>
      <c r="AR193" s="11">
        <f t="shared" ca="1" si="217"/>
        <v>116.70940856714702</v>
      </c>
      <c r="AS193" s="12">
        <f t="shared" ca="1" si="218"/>
        <v>0.27159362229226186</v>
      </c>
      <c r="AT193" s="11">
        <f t="shared" ca="1" si="185"/>
        <v>496.84663932581492</v>
      </c>
      <c r="AU193" s="11">
        <f t="shared" ca="1" si="219"/>
        <v>121.19751561369486</v>
      </c>
      <c r="AV193" s="12">
        <f t="shared" ca="1" si="220"/>
        <v>0.32263489507451898</v>
      </c>
      <c r="AW193" s="10">
        <f t="shared" si="186"/>
        <v>45015</v>
      </c>
      <c r="AX193" s="76">
        <f t="shared" ca="1" si="205"/>
        <v>98721.687415942884</v>
      </c>
      <c r="AY193" s="75">
        <f t="shared" ca="1" si="190"/>
        <v>17.719115086794385</v>
      </c>
      <c r="AZ193" s="75">
        <f t="shared" ca="1" si="187"/>
        <v>11.721115703933515</v>
      </c>
      <c r="BA193" s="75">
        <f t="shared" ca="1" si="206"/>
        <v>5.9979993828608702</v>
      </c>
      <c r="BB193" s="75">
        <f t="shared" ca="1" si="207"/>
        <v>98715.689416560024</v>
      </c>
      <c r="BC193" s="12"/>
      <c r="BD193" s="12"/>
    </row>
    <row r="194" spans="3:56">
      <c r="C194" s="3">
        <f t="shared" si="166"/>
        <v>16</v>
      </c>
      <c r="D194" s="3">
        <f t="shared" si="174"/>
        <v>6</v>
      </c>
      <c r="E194" s="1">
        <f t="shared" si="175"/>
        <v>2035</v>
      </c>
      <c r="F194" s="3">
        <f t="shared" si="167"/>
        <v>73</v>
      </c>
      <c r="G194" s="3">
        <f t="shared" si="176"/>
        <v>190</v>
      </c>
      <c r="H194" s="4">
        <f t="shared" si="203"/>
        <v>101561.92388204568</v>
      </c>
      <c r="L194" s="25" t="str">
        <f t="shared" ca="1" si="169"/>
        <v/>
      </c>
      <c r="M194" s="4">
        <f t="shared" si="170"/>
        <v>101561.92388204568</v>
      </c>
      <c r="N194" s="5">
        <f t="shared" si="210"/>
        <v>2.18E-2</v>
      </c>
      <c r="O194" s="6">
        <f t="shared" si="171"/>
        <v>5.0499999999999996E-2</v>
      </c>
      <c r="P194" s="4">
        <f t="shared" si="164"/>
        <v>427.4064296702756</v>
      </c>
      <c r="Q194" s="7">
        <f t="shared" si="172"/>
        <v>1147.1423660440482</v>
      </c>
      <c r="R194" s="4">
        <f t="shared" si="177"/>
        <v>719.73593637377257</v>
      </c>
      <c r="S194" s="4">
        <f t="shared" si="165"/>
        <v>100842.1879456719</v>
      </c>
      <c r="T194" s="4">
        <f t="shared" si="178"/>
        <v>0</v>
      </c>
      <c r="U194" s="4">
        <f t="shared" si="173"/>
        <v>100842.1879456719</v>
      </c>
      <c r="AE194" s="91" t="str">
        <f t="shared" ca="1" si="191"/>
        <v/>
      </c>
      <c r="AF194" s="70">
        <f t="shared" si="188"/>
        <v>45016</v>
      </c>
      <c r="AG194" s="10">
        <f t="shared" si="163"/>
        <v>45016</v>
      </c>
      <c r="AH194" s="29">
        <f ca="1">IF(AG194=TODAY()-1,Loan!F164,IF(AG194&gt;$AB$13,$AB$55,AH193-AI194*AF193+AI194*AF194))</f>
        <v>2.2194346289750921E-2</v>
      </c>
      <c r="AI194" s="87">
        <f t="shared" ca="1" si="222"/>
        <v>5.8303886925815588E-5</v>
      </c>
      <c r="AJ194" s="76" t="str">
        <f t="shared" ca="1" si="181"/>
        <v/>
      </c>
      <c r="AK194" s="76" t="str">
        <f t="shared" ca="1" si="189"/>
        <v/>
      </c>
      <c r="AL194" s="76" t="str">
        <f t="shared" ca="1" si="223"/>
        <v/>
      </c>
      <c r="AM194" s="11">
        <f t="shared" ca="1" si="182"/>
        <v>221.94346289750922</v>
      </c>
      <c r="AN194" s="11">
        <f t="shared" ca="1" si="183"/>
        <v>624.01510166377147</v>
      </c>
      <c r="AO194" s="11">
        <f t="shared" ca="1" si="215"/>
        <v>112.42901419106033</v>
      </c>
      <c r="AP194" s="12">
        <f t="shared" ca="1" si="216"/>
        <v>0.21976558187200015</v>
      </c>
      <c r="AQ194" s="11">
        <f t="shared" ca="1" si="184"/>
        <v>546.75815061297862</v>
      </c>
      <c r="AR194" s="11">
        <f t="shared" ca="1" si="217"/>
        <v>117.03742454395461</v>
      </c>
      <c r="AS194" s="12">
        <f t="shared" ca="1" si="218"/>
        <v>0.2723569459043394</v>
      </c>
      <c r="AT194" s="11">
        <f t="shared" ca="1" si="185"/>
        <v>497.18974311996965</v>
      </c>
      <c r="AU194" s="11">
        <f t="shared" ca="1" si="219"/>
        <v>121.54061940784959</v>
      </c>
      <c r="AV194" s="12">
        <f t="shared" ca="1" si="220"/>
        <v>0.3235482574983794</v>
      </c>
      <c r="AW194" s="10">
        <f t="shared" si="186"/>
        <v>45016</v>
      </c>
      <c r="AX194" s="76">
        <f t="shared" ca="1" si="205"/>
        <v>98715.689416560024</v>
      </c>
      <c r="AY194" s="75">
        <f t="shared" ca="1" si="190"/>
        <v>17.728665216226503</v>
      </c>
      <c r="AZ194" s="75">
        <f t="shared" ca="1" si="187"/>
        <v>11.736172084311523</v>
      </c>
      <c r="BA194" s="75">
        <f t="shared" ca="1" si="206"/>
        <v>5.9924931319149799</v>
      </c>
      <c r="BB194" s="75">
        <f t="shared" ca="1" si="207"/>
        <v>98709.696923428113</v>
      </c>
      <c r="BC194" s="12"/>
      <c r="BD194" s="12"/>
    </row>
    <row r="195" spans="3:56">
      <c r="C195" s="3">
        <f t="shared" si="166"/>
        <v>16</v>
      </c>
      <c r="D195" s="3">
        <f t="shared" si="174"/>
        <v>7</v>
      </c>
      <c r="E195" s="1">
        <f t="shared" si="175"/>
        <v>2035</v>
      </c>
      <c r="F195" s="3">
        <f t="shared" si="167"/>
        <v>73</v>
      </c>
      <c r="G195" s="3">
        <f t="shared" si="176"/>
        <v>191</v>
      </c>
      <c r="H195" s="4">
        <f t="shared" si="203"/>
        <v>100842.1879456719</v>
      </c>
      <c r="L195" s="25" t="str">
        <f t="shared" ca="1" si="169"/>
        <v/>
      </c>
      <c r="M195" s="4">
        <f t="shared" si="170"/>
        <v>100842.1879456719</v>
      </c>
      <c r="N195" s="5">
        <f t="shared" si="210"/>
        <v>2.18E-2</v>
      </c>
      <c r="O195" s="6">
        <f t="shared" si="171"/>
        <v>5.0499999999999996E-2</v>
      </c>
      <c r="P195" s="4">
        <f t="shared" si="164"/>
        <v>424.37754093803591</v>
      </c>
      <c r="Q195" s="7">
        <f t="shared" si="172"/>
        <v>1147.1423660440473</v>
      </c>
      <c r="R195" s="4">
        <f t="shared" si="177"/>
        <v>722.76482510601136</v>
      </c>
      <c r="S195" s="4">
        <f t="shared" si="165"/>
        <v>100119.42312056589</v>
      </c>
      <c r="T195" s="4">
        <f t="shared" si="178"/>
        <v>0</v>
      </c>
      <c r="U195" s="4">
        <f t="shared" si="173"/>
        <v>100119.42312056589</v>
      </c>
      <c r="AE195" s="91" t="str">
        <f t="shared" ca="1" si="191"/>
        <v/>
      </c>
      <c r="AF195" s="70">
        <f t="shared" si="188"/>
        <v>45019</v>
      </c>
      <c r="AG195" s="10">
        <f t="shared" ref="AG195" si="227">AG194+3</f>
        <v>45019</v>
      </c>
      <c r="AH195" s="29">
        <f ca="1">IF(AG195=TODAY()-1,Loan!F165,IF(AG195&gt;$AB$13,$AB$55,AH194-AI195*AF194+AI195*AF195))</f>
        <v>2.2369257950528354E-2</v>
      </c>
      <c r="AI195" s="87">
        <f t="shared" ca="1" si="222"/>
        <v>5.8303886925814016E-5</v>
      </c>
      <c r="AJ195" s="76" t="str">
        <f t="shared" ca="1" si="181"/>
        <v/>
      </c>
      <c r="AK195" s="76" t="str">
        <f t="shared" ca="1" si="189"/>
        <v/>
      </c>
      <c r="AL195" s="76" t="str">
        <f t="shared" ca="1" si="223"/>
        <v/>
      </c>
      <c r="AM195" s="11">
        <f t="shared" ca="1" si="182"/>
        <v>223.69257950528353</v>
      </c>
      <c r="AN195" s="11">
        <f t="shared" ca="1" si="183"/>
        <v>624.95247324999434</v>
      </c>
      <c r="AO195" s="11">
        <f t="shared" ca="1" si="215"/>
        <v>113.3663857772832</v>
      </c>
      <c r="AP195" s="12">
        <f t="shared" ca="1" si="216"/>
        <v>0.22159786701261761</v>
      </c>
      <c r="AQ195" s="11">
        <f t="shared" ca="1" si="184"/>
        <v>547.7428256414961</v>
      </c>
      <c r="AR195" s="11">
        <f t="shared" ca="1" si="217"/>
        <v>118.02209957247209</v>
      </c>
      <c r="AS195" s="12">
        <f t="shared" ca="1" si="218"/>
        <v>0.27464837605602194</v>
      </c>
      <c r="AT195" s="11">
        <f t="shared" ca="1" si="185"/>
        <v>498.2197700869649</v>
      </c>
      <c r="AU195" s="11">
        <f t="shared" ca="1" si="219"/>
        <v>122.57064637484484</v>
      </c>
      <c r="AV195" s="12">
        <f t="shared" ca="1" si="220"/>
        <v>0.32629024969795289</v>
      </c>
      <c r="AW195" s="10">
        <f t="shared" si="186"/>
        <v>45019</v>
      </c>
      <c r="AX195" s="76">
        <f t="shared" ca="1" si="205"/>
        <v>98709.696923428113</v>
      </c>
      <c r="AY195" s="75">
        <f t="shared" ca="1" si="190"/>
        <v>17.761638578805226</v>
      </c>
      <c r="AZ195" s="75">
        <f t="shared" ca="1" si="187"/>
        <v>11.782762321850178</v>
      </c>
      <c r="BA195" s="75">
        <f t="shared" ca="1" si="206"/>
        <v>5.9788762569550471</v>
      </c>
      <c r="BB195" s="75">
        <f t="shared" ca="1" si="207"/>
        <v>98703.718047171162</v>
      </c>
      <c r="BC195" s="12"/>
      <c r="BD195" s="12"/>
    </row>
    <row r="196" spans="3:56">
      <c r="C196" s="3">
        <f t="shared" si="166"/>
        <v>16</v>
      </c>
      <c r="D196" s="3">
        <f t="shared" si="174"/>
        <v>8</v>
      </c>
      <c r="E196" s="1">
        <f t="shared" si="175"/>
        <v>2035</v>
      </c>
      <c r="F196" s="3">
        <f t="shared" si="167"/>
        <v>73</v>
      </c>
      <c r="G196" s="3">
        <f t="shared" si="176"/>
        <v>192</v>
      </c>
      <c r="H196" s="4">
        <f t="shared" si="203"/>
        <v>100119.42312056589</v>
      </c>
      <c r="L196" s="25" t="str">
        <f t="shared" ca="1" si="169"/>
        <v/>
      </c>
      <c r="M196" s="4">
        <f t="shared" si="170"/>
        <v>100119.42312056589</v>
      </c>
      <c r="N196" s="5">
        <f t="shared" si="210"/>
        <v>2.18E-2</v>
      </c>
      <c r="O196" s="6">
        <f t="shared" si="171"/>
        <v>5.0499999999999996E-2</v>
      </c>
      <c r="P196" s="4">
        <f t="shared" si="164"/>
        <v>421.33590563238141</v>
      </c>
      <c r="Q196" s="7">
        <f t="shared" si="172"/>
        <v>1147.142366044048</v>
      </c>
      <c r="R196" s="4">
        <f t="shared" si="177"/>
        <v>725.80646041166665</v>
      </c>
      <c r="S196" s="4">
        <f t="shared" si="165"/>
        <v>99393.616660154221</v>
      </c>
      <c r="T196" s="4">
        <f t="shared" si="178"/>
        <v>0</v>
      </c>
      <c r="U196" s="4">
        <f t="shared" si="173"/>
        <v>99393.616660154221</v>
      </c>
      <c r="AE196" s="91" t="str">
        <f t="shared" ca="1" si="191"/>
        <v/>
      </c>
      <c r="AF196" s="70">
        <f t="shared" si="188"/>
        <v>45020</v>
      </c>
      <c r="AG196" s="10">
        <f t="shared" ref="AG196:AG259" si="228">AG195+1</f>
        <v>45020</v>
      </c>
      <c r="AH196" s="29">
        <f ca="1">IF(AG196=TODAY()-1,Loan!F166,IF(AG196&gt;$AB$13,$AB$55,AH195-AI196*AF195+AI196*AF196))</f>
        <v>2.2427561837454313E-2</v>
      </c>
      <c r="AI196" s="87">
        <f t="shared" ca="1" si="222"/>
        <v>5.8303886925814124E-5</v>
      </c>
      <c r="AJ196" s="76" t="str">
        <f t="shared" ca="1" si="181"/>
        <v/>
      </c>
      <c r="AK196" s="76" t="str">
        <f t="shared" ca="1" si="189"/>
        <v/>
      </c>
      <c r="AL196" s="76" t="str">
        <f t="shared" ca="1" si="223"/>
        <v/>
      </c>
      <c r="AM196" s="11">
        <f t="shared" ca="1" si="182"/>
        <v>224.27561837454311</v>
      </c>
      <c r="AN196" s="11">
        <f t="shared" ca="1" si="183"/>
        <v>625.26510470252879</v>
      </c>
      <c r="AO196" s="11">
        <f t="shared" ca="1" si="215"/>
        <v>113.67901722981765</v>
      </c>
      <c r="AP196" s="12">
        <f t="shared" ca="1" si="216"/>
        <v>0.22220896934747367</v>
      </c>
      <c r="AQ196" s="11">
        <f t="shared" ca="1" si="184"/>
        <v>548.07125957382641</v>
      </c>
      <c r="AR196" s="11">
        <f t="shared" ca="1" si="217"/>
        <v>118.3505335048024</v>
      </c>
      <c r="AS196" s="12">
        <f t="shared" ca="1" si="218"/>
        <v>0.27541267228937966</v>
      </c>
      <c r="AT196" s="11">
        <f t="shared" ca="1" si="185"/>
        <v>498.56335075984532</v>
      </c>
      <c r="AU196" s="11">
        <f t="shared" ca="1" si="219"/>
        <v>122.91422704772526</v>
      </c>
      <c r="AV196" s="12">
        <f t="shared" ca="1" si="220"/>
        <v>0.32720488160095107</v>
      </c>
      <c r="AW196" s="10">
        <f t="shared" si="186"/>
        <v>45020</v>
      </c>
      <c r="AX196" s="76">
        <f t="shared" ca="1" si="205"/>
        <v>98703.718047171162</v>
      </c>
      <c r="AY196" s="75">
        <f t="shared" ca="1" si="190"/>
        <v>17.769050893935013</v>
      </c>
      <c r="AZ196" s="75">
        <f t="shared" ca="1" si="187"/>
        <v>11.797815240245523</v>
      </c>
      <c r="BA196" s="75">
        <f t="shared" ca="1" si="206"/>
        <v>5.9712356536894902</v>
      </c>
      <c r="BB196" s="75">
        <f t="shared" ca="1" si="207"/>
        <v>98697.746811517471</v>
      </c>
      <c r="BC196" s="12"/>
      <c r="BD196" s="12"/>
    </row>
    <row r="197" spans="3:56">
      <c r="C197" s="3">
        <f t="shared" si="166"/>
        <v>17</v>
      </c>
      <c r="D197" s="3">
        <f t="shared" si="174"/>
        <v>9</v>
      </c>
      <c r="E197" s="1">
        <f t="shared" si="175"/>
        <v>2035</v>
      </c>
      <c r="F197" s="3">
        <f t="shared" si="167"/>
        <v>73</v>
      </c>
      <c r="G197" s="3">
        <f t="shared" si="176"/>
        <v>193</v>
      </c>
      <c r="H197" s="4">
        <f t="shared" si="203"/>
        <v>99393.616660154221</v>
      </c>
      <c r="L197" s="25" t="str">
        <f t="shared" ca="1" si="169"/>
        <v/>
      </c>
      <c r="M197" s="4">
        <f t="shared" si="170"/>
        <v>99393.616660154221</v>
      </c>
      <c r="N197" s="5">
        <f t="shared" si="210"/>
        <v>2.18E-2</v>
      </c>
      <c r="O197" s="6">
        <f t="shared" si="171"/>
        <v>5.0499999999999996E-2</v>
      </c>
      <c r="P197" s="4">
        <f t="shared" ref="P197:P259" si="229">M197*O197/12</f>
        <v>418.28147011148235</v>
      </c>
      <c r="Q197" s="7">
        <f t="shared" si="172"/>
        <v>1147.1423660440485</v>
      </c>
      <c r="R197" s="4">
        <f t="shared" si="177"/>
        <v>728.86089593256611</v>
      </c>
      <c r="S197" s="4">
        <f t="shared" ref="S197:S259" si="230">M197-R197</f>
        <v>98664.755764221656</v>
      </c>
      <c r="T197" s="4">
        <f t="shared" si="178"/>
        <v>0</v>
      </c>
      <c r="U197" s="4">
        <f t="shared" si="173"/>
        <v>98664.755764221656</v>
      </c>
      <c r="AE197" s="91" t="str">
        <f t="shared" ca="1" si="191"/>
        <v/>
      </c>
      <c r="AF197" s="70">
        <f t="shared" si="188"/>
        <v>45021</v>
      </c>
      <c r="AG197" s="10">
        <f t="shared" si="228"/>
        <v>45021</v>
      </c>
      <c r="AH197" s="29">
        <f ca="1">IF(AG197=TODAY()-1,Loan!F167,IF(AG197&gt;$AB$13,$AB$55,AH196-AI197*AF196+AI197*AF197))</f>
        <v>2.2485865724380272E-2</v>
      </c>
      <c r="AI197" s="87">
        <f t="shared" ca="1" si="222"/>
        <v>5.8303886925812457E-5</v>
      </c>
      <c r="AJ197" s="76" t="str">
        <f t="shared" ca="1" si="181"/>
        <v/>
      </c>
      <c r="AK197" s="76" t="str">
        <f t="shared" ca="1" si="189"/>
        <v/>
      </c>
      <c r="AL197" s="76" t="str">
        <f t="shared" ca="1" si="223"/>
        <v/>
      </c>
      <c r="AM197" s="11">
        <f t="shared" ca="1" si="182"/>
        <v>224.85865724380272</v>
      </c>
      <c r="AN197" s="11">
        <f t="shared" ca="1" si="183"/>
        <v>625.57782325366395</v>
      </c>
      <c r="AO197" s="11">
        <f t="shared" ca="1" si="215"/>
        <v>113.99173578095281</v>
      </c>
      <c r="AP197" s="12">
        <f t="shared" ca="1" si="216"/>
        <v>0.22282024193441993</v>
      </c>
      <c r="AQ197" s="11">
        <f t="shared" ca="1" si="184"/>
        <v>548.39979791255303</v>
      </c>
      <c r="AR197" s="11">
        <f t="shared" ca="1" si="217"/>
        <v>118.67907184352902</v>
      </c>
      <c r="AS197" s="12">
        <f t="shared" ca="1" si="218"/>
        <v>0.27617721148610869</v>
      </c>
      <c r="AT197" s="11">
        <f t="shared" ca="1" si="185"/>
        <v>498.90705051907929</v>
      </c>
      <c r="AU197" s="11">
        <f t="shared" ca="1" si="219"/>
        <v>123.25792680695923</v>
      </c>
      <c r="AV197" s="12">
        <f t="shared" ca="1" si="220"/>
        <v>0.32811983051880711</v>
      </c>
      <c r="AW197" s="10">
        <f t="shared" si="186"/>
        <v>45021</v>
      </c>
      <c r="AX197" s="76">
        <f t="shared" ca="1" si="205"/>
        <v>98697.746811517471</v>
      </c>
      <c r="AY197" s="75">
        <f t="shared" ca="1" si="190"/>
        <v>17.778617710491687</v>
      </c>
      <c r="AZ197" s="75">
        <f t="shared" ca="1" si="187"/>
        <v>11.81286716303242</v>
      </c>
      <c r="BA197" s="75">
        <f t="shared" ca="1" si="206"/>
        <v>5.9657505474592671</v>
      </c>
      <c r="BB197" s="75">
        <f t="shared" ca="1" si="207"/>
        <v>98691.78106097001</v>
      </c>
      <c r="BC197" s="12"/>
      <c r="BD197" s="12"/>
    </row>
    <row r="198" spans="3:56">
      <c r="C198" s="3">
        <f t="shared" ref="C198:C260" si="231">IF(G198/12=INT(G198/12),INT(G198/12),INT(G198/12)+1)</f>
        <v>17</v>
      </c>
      <c r="D198" s="3">
        <f t="shared" si="174"/>
        <v>10</v>
      </c>
      <c r="E198" s="1">
        <f t="shared" si="175"/>
        <v>2035</v>
      </c>
      <c r="F198" s="3">
        <f t="shared" ref="F198:F256" si="232">ROUND(((E198-1962)*12+D198-8)/12,0)</f>
        <v>73</v>
      </c>
      <c r="G198" s="3">
        <f t="shared" si="176"/>
        <v>194</v>
      </c>
      <c r="H198" s="4">
        <f t="shared" si="203"/>
        <v>98664.755764221656</v>
      </c>
      <c r="L198" s="25" t="str">
        <f t="shared" ref="L198:L260" ca="1" si="233">IF(AND(YEAR(TODAY())=E198,MONTH(TODAY())=D198),"current","")</f>
        <v/>
      </c>
      <c r="M198" s="4">
        <f t="shared" ref="M198:M260" si="234">H198-I198-J198-K198</f>
        <v>98664.755764221656</v>
      </c>
      <c r="N198" s="5">
        <f t="shared" si="210"/>
        <v>2.18E-2</v>
      </c>
      <c r="O198" s="6">
        <f t="shared" ref="O198:O260" si="235">N198+$B$22+$B$23</f>
        <v>5.0499999999999996E-2</v>
      </c>
      <c r="P198" s="4">
        <f t="shared" si="229"/>
        <v>415.21418050776612</v>
      </c>
      <c r="Q198" s="7">
        <f t="shared" ref="Q198:Q260" si="236">IF(C198&gt;$B$6,0,(M198/((1-(1+O198/12)^-($B$6*12-G198+1))/(O198/12))))</f>
        <v>1147.1423660440482</v>
      </c>
      <c r="R198" s="4">
        <f t="shared" si="177"/>
        <v>731.92818553628217</v>
      </c>
      <c r="S198" s="4">
        <f t="shared" si="230"/>
        <v>97932.827578685377</v>
      </c>
      <c r="T198" s="4">
        <f t="shared" si="178"/>
        <v>0</v>
      </c>
      <c r="U198" s="4">
        <f t="shared" ref="U198:U260" si="237">T198+S198</f>
        <v>97932.827578685377</v>
      </c>
      <c r="AE198" s="91" t="str">
        <f t="shared" ca="1" si="191"/>
        <v/>
      </c>
      <c r="AF198" s="70">
        <f t="shared" si="188"/>
        <v>45022</v>
      </c>
      <c r="AG198" s="10">
        <f t="shared" si="228"/>
        <v>45022</v>
      </c>
      <c r="AH198" s="29">
        <f ca="1">IF(AG198=TODAY()-1,Loan!F168,IF(AG198&gt;$AB$13,$AB$55,AH197-AI198*AF197+AI198*AF198))</f>
        <v>2.2544169611306231E-2</v>
      </c>
      <c r="AI198" s="87">
        <f t="shared" ca="1" si="222"/>
        <v>5.8303886925810756E-5</v>
      </c>
      <c r="AJ198" s="76" t="str">
        <f t="shared" ca="1" si="181"/>
        <v/>
      </c>
      <c r="AK198" s="76" t="str">
        <f t="shared" ca="1" si="189"/>
        <v/>
      </c>
      <c r="AL198" s="76" t="str">
        <f t="shared" ca="1" si="223"/>
        <v/>
      </c>
      <c r="AM198" s="11">
        <f t="shared" ca="1" si="182"/>
        <v>225.44169611306231</v>
      </c>
      <c r="AN198" s="11">
        <f t="shared" ca="1" si="183"/>
        <v>625.89062888533033</v>
      </c>
      <c r="AO198" s="11">
        <f t="shared" ca="1" si="215"/>
        <v>114.30454141261919</v>
      </c>
      <c r="AP198" s="12">
        <f t="shared" ca="1" si="216"/>
        <v>0.22343168473813585</v>
      </c>
      <c r="AQ198" s="11">
        <f t="shared" ca="1" si="184"/>
        <v>548.72844062457148</v>
      </c>
      <c r="AR198" s="11">
        <f t="shared" ca="1" si="217"/>
        <v>119.00771455554747</v>
      </c>
      <c r="AS198" s="12">
        <f t="shared" ca="1" si="218"/>
        <v>0.27694199356917176</v>
      </c>
      <c r="AT198" s="11">
        <f t="shared" ca="1" si="185"/>
        <v>499.25086931121285</v>
      </c>
      <c r="AU198" s="11">
        <f t="shared" ca="1" si="219"/>
        <v>123.60174559909279</v>
      </c>
      <c r="AV198" s="12">
        <f t="shared" ca="1" si="220"/>
        <v>0.3290350963092234</v>
      </c>
      <c r="AW198" s="10">
        <f t="shared" si="186"/>
        <v>45022</v>
      </c>
      <c r="AX198" s="76">
        <f t="shared" ca="1" si="205"/>
        <v>98691.78106097001</v>
      </c>
      <c r="AY198" s="75">
        <f t="shared" ca="1" si="190"/>
        <v>17.788187630828784</v>
      </c>
      <c r="AZ198" s="75">
        <f t="shared" ca="1" si="187"/>
        <v>11.827917835542392</v>
      </c>
      <c r="BA198" s="75">
        <f t="shared" ca="1" si="206"/>
        <v>5.9602697952863917</v>
      </c>
      <c r="BB198" s="75">
        <f t="shared" ca="1" si="207"/>
        <v>98685.82079117473</v>
      </c>
      <c r="BC198" s="12"/>
      <c r="BD198" s="12"/>
    </row>
    <row r="199" spans="3:56">
      <c r="C199" s="3">
        <f t="shared" si="231"/>
        <v>17</v>
      </c>
      <c r="D199" s="3">
        <f t="shared" ref="D199:D262" si="238">IF(D198+1&gt;12,1,D198+1)</f>
        <v>11</v>
      </c>
      <c r="E199" s="1">
        <f t="shared" ref="E199:E256" si="239">IF(D199=1,E198+1,E198)</f>
        <v>2035</v>
      </c>
      <c r="F199" s="3">
        <f t="shared" si="232"/>
        <v>73</v>
      </c>
      <c r="G199" s="3">
        <f t="shared" ref="G199:G262" si="240">G198+1</f>
        <v>195</v>
      </c>
      <c r="H199" s="4">
        <f t="shared" si="203"/>
        <v>97932.827578685377</v>
      </c>
      <c r="L199" s="25" t="str">
        <f t="shared" ca="1" si="233"/>
        <v/>
      </c>
      <c r="M199" s="4">
        <f t="shared" si="234"/>
        <v>97932.827578685377</v>
      </c>
      <c r="N199" s="5">
        <f t="shared" si="210"/>
        <v>2.18E-2</v>
      </c>
      <c r="O199" s="6">
        <f t="shared" si="235"/>
        <v>5.0499999999999996E-2</v>
      </c>
      <c r="P199" s="4">
        <f t="shared" si="229"/>
        <v>412.13398272696759</v>
      </c>
      <c r="Q199" s="7">
        <f t="shared" si="236"/>
        <v>1147.1423660440485</v>
      </c>
      <c r="R199" s="4">
        <f t="shared" ref="R199:R261" si="241">Q199-P199</f>
        <v>735.00838331708087</v>
      </c>
      <c r="S199" s="4">
        <f t="shared" si="230"/>
        <v>97197.819195368298</v>
      </c>
      <c r="T199" s="4">
        <f t="shared" ref="T199:T261" si="242">T198</f>
        <v>0</v>
      </c>
      <c r="U199" s="4">
        <f t="shared" si="237"/>
        <v>97197.819195368298</v>
      </c>
      <c r="AE199" s="91" t="str">
        <f t="shared" ca="1" si="191"/>
        <v/>
      </c>
      <c r="AF199" s="70">
        <f t="shared" si="188"/>
        <v>45023</v>
      </c>
      <c r="AG199" s="10">
        <f t="shared" si="228"/>
        <v>45023</v>
      </c>
      <c r="AH199" s="29">
        <f ca="1">IF(AG199=TODAY()-1,Loan!F169,IF(AG199&gt;$AB$13,$AB$55,AH198-AI199*AF198+AI199*AF199))</f>
        <v>2.260247349823219E-2</v>
      </c>
      <c r="AI199" s="87">
        <f t="shared" ca="1" si="222"/>
        <v>5.8303886925809015E-5</v>
      </c>
      <c r="AJ199" s="76" t="str">
        <f t="shared" ca="1" si="181"/>
        <v/>
      </c>
      <c r="AK199" s="76" t="str">
        <f t="shared" ca="1" si="189"/>
        <v/>
      </c>
      <c r="AL199" s="76" t="str">
        <f t="shared" ca="1" si="223"/>
        <v/>
      </c>
      <c r="AM199" s="11">
        <f t="shared" ca="1" si="182"/>
        <v>226.02473498232189</v>
      </c>
      <c r="AN199" s="11">
        <f t="shared" ca="1" si="183"/>
        <v>626.20352157950367</v>
      </c>
      <c r="AO199" s="11">
        <f t="shared" ca="1" si="215"/>
        <v>114.61743410679253</v>
      </c>
      <c r="AP199" s="12">
        <f t="shared" ca="1" si="216"/>
        <v>0.22404329772338935</v>
      </c>
      <c r="AQ199" s="11">
        <f t="shared" ca="1" si="184"/>
        <v>549.05718767679627</v>
      </c>
      <c r="AR199" s="11">
        <f t="shared" ca="1" si="217"/>
        <v>119.33646160777226</v>
      </c>
      <c r="AS199" s="12">
        <f t="shared" ca="1" si="218"/>
        <v>0.27770701846157592</v>
      </c>
      <c r="AT199" s="11">
        <f t="shared" ca="1" si="185"/>
        <v>499.5948070827904</v>
      </c>
      <c r="AU199" s="11">
        <f t="shared" ca="1" si="219"/>
        <v>123.94568337067034</v>
      </c>
      <c r="AV199" s="12">
        <f t="shared" ca="1" si="220"/>
        <v>0.32995067882989798</v>
      </c>
      <c r="AW199" s="10">
        <f t="shared" si="186"/>
        <v>45023</v>
      </c>
      <c r="AX199" s="76">
        <f t="shared" ca="1" si="205"/>
        <v>98685.82079117473</v>
      </c>
      <c r="AY199" s="75">
        <f t="shared" ca="1" si="190"/>
        <v>17.797760654267751</v>
      </c>
      <c r="AZ199" s="75">
        <f t="shared" ca="1" si="187"/>
        <v>11.842967259881432</v>
      </c>
      <c r="BA199" s="75">
        <f t="shared" ca="1" si="206"/>
        <v>5.9547933943863196</v>
      </c>
      <c r="BB199" s="75">
        <f t="shared" ca="1" si="207"/>
        <v>98679.865997780347</v>
      </c>
      <c r="BC199" s="12"/>
      <c r="BD199" s="12"/>
    </row>
    <row r="200" spans="3:56">
      <c r="C200" s="3">
        <f t="shared" si="231"/>
        <v>17</v>
      </c>
      <c r="D200" s="3">
        <f t="shared" si="238"/>
        <v>12</v>
      </c>
      <c r="E200" s="1">
        <f t="shared" si="239"/>
        <v>2035</v>
      </c>
      <c r="F200" s="3">
        <f t="shared" si="232"/>
        <v>73</v>
      </c>
      <c r="G200" s="3">
        <f t="shared" si="240"/>
        <v>196</v>
      </c>
      <c r="H200" s="4">
        <f t="shared" si="203"/>
        <v>97197.819195368298</v>
      </c>
      <c r="L200" s="25" t="str">
        <f t="shared" ca="1" si="233"/>
        <v/>
      </c>
      <c r="M200" s="4">
        <f t="shared" si="234"/>
        <v>97197.819195368298</v>
      </c>
      <c r="N200" s="5">
        <f t="shared" si="210"/>
        <v>2.18E-2</v>
      </c>
      <c r="O200" s="6">
        <f t="shared" si="235"/>
        <v>5.0499999999999996E-2</v>
      </c>
      <c r="P200" s="4">
        <f t="shared" si="229"/>
        <v>409.04082244717489</v>
      </c>
      <c r="Q200" s="7">
        <f t="shared" si="236"/>
        <v>1147.1423660440494</v>
      </c>
      <c r="R200" s="4">
        <f t="shared" si="241"/>
        <v>738.10154359687454</v>
      </c>
      <c r="S200" s="4">
        <f t="shared" si="230"/>
        <v>96459.717651771425</v>
      </c>
      <c r="T200" s="4">
        <f t="shared" si="242"/>
        <v>0</v>
      </c>
      <c r="U200" s="4">
        <f t="shared" si="237"/>
        <v>96459.717651771425</v>
      </c>
      <c r="AE200" s="91" t="str">
        <f t="shared" ca="1" si="191"/>
        <v/>
      </c>
      <c r="AF200" s="70">
        <f t="shared" si="188"/>
        <v>45026</v>
      </c>
      <c r="AG200" s="10">
        <f t="shared" ref="AG200" si="243">AG199+3</f>
        <v>45026</v>
      </c>
      <c r="AH200" s="29">
        <f ca="1">IF(AG200=TODAY()-1,Loan!F170,IF(AG200&gt;$AB$13,$AB$55,AH199-AI200*AF199+AI200*AF200))</f>
        <v>2.2777385159009622E-2</v>
      </c>
      <c r="AI200" s="87">
        <f t="shared" ca="1" si="222"/>
        <v>5.8303886925807226E-5</v>
      </c>
      <c r="AJ200" s="76" t="str">
        <f t="shared" ref="AJ200:AJ259" ca="1" si="244">IF(TODAY()&gt;=AG200,10000*AH200,"")</f>
        <v/>
      </c>
      <c r="AK200" s="76" t="str">
        <f t="shared" ca="1" si="189"/>
        <v/>
      </c>
      <c r="AL200" s="76" t="str">
        <f t="shared" ca="1" si="223"/>
        <v/>
      </c>
      <c r="AM200" s="11">
        <f t="shared" ref="AM200:AM256" ca="1" si="245">10000*(AH200-AH$7)</f>
        <v>227.77385159009623</v>
      </c>
      <c r="AN200" s="11">
        <f t="shared" ref="AN200:AN259" ca="1" si="246">100000/((1-(1+($AH200+$AH$3+$AH$2)/12)^-(AN$5*12))/(($AH200+$AH$3+$AH$2)/12))</f>
        <v>627.14272185650157</v>
      </c>
      <c r="AO200" s="11">
        <f t="shared" ca="1" si="215"/>
        <v>115.55663438379042</v>
      </c>
      <c r="AP200" s="12">
        <f t="shared" ca="1" si="216"/>
        <v>0.22587915741542602</v>
      </c>
      <c r="AQ200" s="11">
        <f t="shared" ref="AQ200:AQ259" ca="1" si="247">100000/((1-(1+($AH200+$AH$3+$AH$2)/12)^-(AQ$5*12))/(($AH200+$AH$3+$AH$2)/12))</f>
        <v>550.04405454336165</v>
      </c>
      <c r="AR200" s="11">
        <f t="shared" ca="1" si="217"/>
        <v>120.32332847433764</v>
      </c>
      <c r="AS200" s="12">
        <f t="shared" ca="1" si="218"/>
        <v>0.28000354922375953</v>
      </c>
      <c r="AT200" s="11">
        <f t="shared" ref="AT200:AT259" ca="1" si="248">100000/((1-(1+($AH200+$AH$3+$AH$2)/12)^-(AT$5*12))/(($AH200+$AH$3+$AH$2)/12))</f>
        <v>500.62733373897913</v>
      </c>
      <c r="AU200" s="11">
        <f t="shared" ca="1" si="219"/>
        <v>124.97821002685907</v>
      </c>
      <c r="AV200" s="12">
        <f t="shared" ca="1" si="220"/>
        <v>0.33269932534871699</v>
      </c>
      <c r="AW200" s="10">
        <f t="shared" ref="AW200:AW259" si="249">AG200</f>
        <v>45026</v>
      </c>
      <c r="AX200" s="76">
        <f t="shared" ca="1" si="205"/>
        <v>98679.865997780347</v>
      </c>
      <c r="AY200" s="75">
        <f t="shared" ca="1" si="190"/>
        <v>17.830793538029791</v>
      </c>
      <c r="AZ200" s="75">
        <f t="shared" ref="AZ200:AZ259" ca="1" si="250">AX200*(AH200+$AB$10+$AH$2)/365</f>
        <v>11.889541025818751</v>
      </c>
      <c r="BA200" s="75">
        <f t="shared" ca="1" si="206"/>
        <v>5.9412525122110402</v>
      </c>
      <c r="BB200" s="75">
        <f t="shared" ca="1" si="207"/>
        <v>98673.92474526813</v>
      </c>
      <c r="BC200" s="12"/>
      <c r="BD200" s="12"/>
    </row>
    <row r="201" spans="3:56">
      <c r="C201" s="3">
        <f t="shared" si="231"/>
        <v>17</v>
      </c>
      <c r="D201" s="3">
        <f t="shared" si="238"/>
        <v>1</v>
      </c>
      <c r="E201" s="1">
        <f t="shared" si="239"/>
        <v>2036</v>
      </c>
      <c r="F201" s="3">
        <f t="shared" si="232"/>
        <v>73</v>
      </c>
      <c r="G201" s="3">
        <f t="shared" si="240"/>
        <v>197</v>
      </c>
      <c r="H201" s="4">
        <f t="shared" si="203"/>
        <v>96459.717651771425</v>
      </c>
      <c r="L201" s="25" t="str">
        <f t="shared" ca="1" si="233"/>
        <v/>
      </c>
      <c r="M201" s="4">
        <f t="shared" si="234"/>
        <v>96459.717651771425</v>
      </c>
      <c r="N201" s="5">
        <f t="shared" si="210"/>
        <v>2.18E-2</v>
      </c>
      <c r="O201" s="6">
        <f t="shared" si="235"/>
        <v>5.0499999999999996E-2</v>
      </c>
      <c r="P201" s="4">
        <f t="shared" si="229"/>
        <v>405.93464511787141</v>
      </c>
      <c r="Q201" s="7">
        <f t="shared" si="236"/>
        <v>1147.1423660440487</v>
      </c>
      <c r="R201" s="4">
        <f t="shared" si="241"/>
        <v>741.20772092617722</v>
      </c>
      <c r="S201" s="4">
        <f t="shared" si="230"/>
        <v>95718.509930845248</v>
      </c>
      <c r="T201" s="4">
        <f t="shared" si="242"/>
        <v>0</v>
      </c>
      <c r="U201" s="4">
        <f t="shared" si="237"/>
        <v>95718.509930845248</v>
      </c>
      <c r="AE201" s="91" t="str">
        <f t="shared" ca="1" si="191"/>
        <v/>
      </c>
      <c r="AF201" s="70">
        <f t="shared" ref="AF201:AF259" si="251">AG201</f>
        <v>45027</v>
      </c>
      <c r="AG201" s="10">
        <f t="shared" ref="AG201" si="252">AG200+1</f>
        <v>45027</v>
      </c>
      <c r="AH201" s="29">
        <f ca="1">IF(AG201=TODAY()-1,Loan!F171,IF(AG201&gt;$AB$13,$AB$55,AH200-AI201*AF200+AI201*AF201))</f>
        <v>2.2835689045935581E-2</v>
      </c>
      <c r="AI201" s="87">
        <f t="shared" ca="1" si="222"/>
        <v>5.830388692580709E-5</v>
      </c>
      <c r="AJ201" s="76" t="str">
        <f t="shared" ca="1" si="244"/>
        <v/>
      </c>
      <c r="AK201" s="76" t="str">
        <f t="shared" ref="AK201:AK259" ca="1" si="253">IF(AJ201&lt;&gt;"",AJ201-AJ200,"")</f>
        <v/>
      </c>
      <c r="AL201" s="76" t="str">
        <f t="shared" ca="1" si="223"/>
        <v/>
      </c>
      <c r="AM201" s="11">
        <f t="shared" ca="1" si="245"/>
        <v>228.35689045935581</v>
      </c>
      <c r="AN201" s="11">
        <f t="shared" ca="1" si="246"/>
        <v>627.45596261998901</v>
      </c>
      <c r="AO201" s="11">
        <f t="shared" ca="1" si="215"/>
        <v>115.86987514727787</v>
      </c>
      <c r="AP201" s="12">
        <f t="shared" ca="1" si="216"/>
        <v>0.22649145077358765</v>
      </c>
      <c r="AQ201" s="11">
        <f t="shared" ca="1" si="247"/>
        <v>550.37321862487022</v>
      </c>
      <c r="AR201" s="11">
        <f t="shared" ca="1" si="217"/>
        <v>120.65249255584621</v>
      </c>
      <c r="AS201" s="12">
        <f t="shared" ca="1" si="218"/>
        <v>0.28076954458199993</v>
      </c>
      <c r="AT201" s="11">
        <f t="shared" ca="1" si="248"/>
        <v>500.97174689288585</v>
      </c>
      <c r="AU201" s="11">
        <f t="shared" ca="1" si="219"/>
        <v>125.32262318076579</v>
      </c>
      <c r="AV201" s="12">
        <f t="shared" ca="1" si="220"/>
        <v>0.33361617336503413</v>
      </c>
      <c r="AW201" s="10">
        <f t="shared" si="249"/>
        <v>45027</v>
      </c>
      <c r="AX201" s="76">
        <f t="shared" ca="1" si="205"/>
        <v>98673.92474526813</v>
      </c>
      <c r="AY201" s="75">
        <f t="shared" ref="AY201:AY259" ca="1" si="254">AX201/((1-(1+(AH201+$AB$10+$AH$2)/365)^-($AB$9*365-(AG201-AG200)))/((AH201+$AB$10+$AH$2)/365))</f>
        <v>17.838233291354971</v>
      </c>
      <c r="AZ201" s="75">
        <f t="shared" ca="1" si="250"/>
        <v>11.904587032944317</v>
      </c>
      <c r="BA201" s="75">
        <f t="shared" ca="1" si="206"/>
        <v>5.9336462584106542</v>
      </c>
      <c r="BB201" s="75">
        <f t="shared" ca="1" si="207"/>
        <v>98667.991099009712</v>
      </c>
      <c r="BC201" s="12"/>
      <c r="BD201" s="12"/>
    </row>
    <row r="202" spans="3:56">
      <c r="C202" s="3">
        <f t="shared" si="231"/>
        <v>17</v>
      </c>
      <c r="D202" s="3">
        <f t="shared" si="238"/>
        <v>2</v>
      </c>
      <c r="E202" s="1">
        <f t="shared" si="239"/>
        <v>2036</v>
      </c>
      <c r="F202" s="3">
        <f t="shared" si="232"/>
        <v>74</v>
      </c>
      <c r="G202" s="3">
        <f t="shared" si="240"/>
        <v>198</v>
      </c>
      <c r="H202" s="4">
        <f t="shared" ref="H202:H256" si="255">S201</f>
        <v>95718.509930845248</v>
      </c>
      <c r="L202" s="25" t="str">
        <f t="shared" ca="1" si="233"/>
        <v/>
      </c>
      <c r="M202" s="4">
        <f t="shared" si="234"/>
        <v>95718.509930845248</v>
      </c>
      <c r="N202" s="5">
        <f t="shared" si="210"/>
        <v>2.18E-2</v>
      </c>
      <c r="O202" s="6">
        <f t="shared" si="235"/>
        <v>5.0499999999999996E-2</v>
      </c>
      <c r="P202" s="4">
        <f t="shared" si="229"/>
        <v>402.81539595897374</v>
      </c>
      <c r="Q202" s="7">
        <f t="shared" si="236"/>
        <v>1147.1423660440496</v>
      </c>
      <c r="R202" s="4">
        <f t="shared" si="241"/>
        <v>744.3269700850758</v>
      </c>
      <c r="S202" s="4">
        <f t="shared" si="230"/>
        <v>94974.182960760168</v>
      </c>
      <c r="T202" s="4">
        <f t="shared" si="242"/>
        <v>0</v>
      </c>
      <c r="U202" s="4">
        <f t="shared" si="237"/>
        <v>94974.182960760168</v>
      </c>
      <c r="AE202" s="91" t="str">
        <f t="shared" ref="AE202:AE259" ca="1" si="256">IF(AG202=TODAY(),"today",IF(AG202=TODAY()-1,"last available",""))</f>
        <v/>
      </c>
      <c r="AF202" s="70">
        <f t="shared" si="251"/>
        <v>45028</v>
      </c>
      <c r="AG202" s="10">
        <f t="shared" si="228"/>
        <v>45028</v>
      </c>
      <c r="AH202" s="29">
        <f ca="1">IF(AG202=TODAY()-1,Loan!F172,IF(AG202&gt;$AB$13,$AB$55,AH201-AI202*AF201+AI202*AF202))</f>
        <v>2.289399293286154E-2</v>
      </c>
      <c r="AI202" s="87">
        <f t="shared" ca="1" si="222"/>
        <v>5.8303886925805193E-5</v>
      </c>
      <c r="AJ202" s="76" t="str">
        <f t="shared" ca="1" si="244"/>
        <v/>
      </c>
      <c r="AK202" s="76" t="str">
        <f t="shared" ca="1" si="253"/>
        <v/>
      </c>
      <c r="AL202" s="76" t="str">
        <f t="shared" ca="1" si="223"/>
        <v/>
      </c>
      <c r="AM202" s="11">
        <f t="shared" ca="1" si="245"/>
        <v>228.93992932861539</v>
      </c>
      <c r="AN202" s="11">
        <f t="shared" ca="1" si="246"/>
        <v>627.76929035553292</v>
      </c>
      <c r="AO202" s="11">
        <f t="shared" ca="1" si="215"/>
        <v>116.18320288282177</v>
      </c>
      <c r="AP202" s="12">
        <f t="shared" ca="1" si="216"/>
        <v>0.22710391413648282</v>
      </c>
      <c r="AQ202" s="11">
        <f t="shared" ca="1" si="247"/>
        <v>550.70248688066192</v>
      </c>
      <c r="AR202" s="11">
        <f t="shared" ca="1" si="217"/>
        <v>120.98176081163791</v>
      </c>
      <c r="AS202" s="12">
        <f t="shared" ca="1" si="218"/>
        <v>0.28153578236346272</v>
      </c>
      <c r="AT202" s="11">
        <f t="shared" ca="1" si="248"/>
        <v>501.31627875830748</v>
      </c>
      <c r="AU202" s="11">
        <f t="shared" ca="1" si="219"/>
        <v>125.66715504618742</v>
      </c>
      <c r="AV202" s="12">
        <f t="shared" ca="1" si="220"/>
        <v>0.3345333373983666</v>
      </c>
      <c r="AW202" s="10">
        <f t="shared" si="249"/>
        <v>45028</v>
      </c>
      <c r="AX202" s="76">
        <f t="shared" ca="1" si="205"/>
        <v>98667.991099009712</v>
      </c>
      <c r="AY202" s="75">
        <f t="shared" ca="1" si="254"/>
        <v>17.84782297552583</v>
      </c>
      <c r="AZ202" s="75">
        <f t="shared" ca="1" si="250"/>
        <v>11.919632060875015</v>
      </c>
      <c r="BA202" s="75">
        <f t="shared" ca="1" si="206"/>
        <v>5.9281909146508145</v>
      </c>
      <c r="BB202" s="75">
        <f t="shared" ca="1" si="207"/>
        <v>98662.06290809506</v>
      </c>
      <c r="BC202" s="12"/>
      <c r="BD202" s="12"/>
    </row>
    <row r="203" spans="3:56">
      <c r="C203" s="3">
        <f t="shared" si="231"/>
        <v>17</v>
      </c>
      <c r="D203" s="3">
        <f t="shared" si="238"/>
        <v>3</v>
      </c>
      <c r="E203" s="1">
        <f t="shared" si="239"/>
        <v>2036</v>
      </c>
      <c r="F203" s="3">
        <f t="shared" si="232"/>
        <v>74</v>
      </c>
      <c r="G203" s="3">
        <f t="shared" si="240"/>
        <v>199</v>
      </c>
      <c r="H203" s="4">
        <f t="shared" si="255"/>
        <v>94974.182960760168</v>
      </c>
      <c r="L203" s="25" t="str">
        <f t="shared" ca="1" si="233"/>
        <v/>
      </c>
      <c r="M203" s="4">
        <f t="shared" si="234"/>
        <v>94974.182960760168</v>
      </c>
      <c r="N203" s="5">
        <f t="shared" si="210"/>
        <v>2.18E-2</v>
      </c>
      <c r="O203" s="6">
        <f t="shared" si="235"/>
        <v>5.0499999999999996E-2</v>
      </c>
      <c r="P203" s="4">
        <f t="shared" si="229"/>
        <v>399.6830199598657</v>
      </c>
      <c r="Q203" s="7">
        <f t="shared" si="236"/>
        <v>1147.1423660440487</v>
      </c>
      <c r="R203" s="4">
        <f t="shared" si="241"/>
        <v>747.45934608418293</v>
      </c>
      <c r="S203" s="4">
        <f t="shared" si="230"/>
        <v>94226.723614675982</v>
      </c>
      <c r="T203" s="4">
        <f t="shared" si="242"/>
        <v>0</v>
      </c>
      <c r="U203" s="4">
        <f t="shared" si="237"/>
        <v>94226.723614675982</v>
      </c>
      <c r="AE203" s="91" t="str">
        <f t="shared" ca="1" si="256"/>
        <v/>
      </c>
      <c r="AF203" s="70">
        <f t="shared" si="251"/>
        <v>45029</v>
      </c>
      <c r="AG203" s="10">
        <f t="shared" si="228"/>
        <v>45029</v>
      </c>
      <c r="AH203" s="29">
        <f ca="1">IF(AG203=TODAY()-1,Loan!F173,IF(AG203&gt;$AB$13,$AB$55,AH202-AI203*AF202+AI203*AF203))</f>
        <v>2.2952296819787055E-2</v>
      </c>
      <c r="AI203" s="87">
        <f t="shared" ca="1" si="222"/>
        <v>5.8303886925803248E-5</v>
      </c>
      <c r="AJ203" s="76" t="str">
        <f t="shared" ca="1" si="244"/>
        <v/>
      </c>
      <c r="AK203" s="76" t="str">
        <f t="shared" ca="1" si="253"/>
        <v/>
      </c>
      <c r="AL203" s="76" t="str">
        <f t="shared" ca="1" si="223"/>
        <v/>
      </c>
      <c r="AM203" s="11">
        <f t="shared" ca="1" si="245"/>
        <v>229.52296819787054</v>
      </c>
      <c r="AN203" s="11">
        <f t="shared" ca="1" si="246"/>
        <v>628.08270504495954</v>
      </c>
      <c r="AO203" s="11">
        <f t="shared" ca="1" si="215"/>
        <v>116.4966175722484</v>
      </c>
      <c r="AP203" s="12">
        <f t="shared" ca="1" si="216"/>
        <v>0.22771654746858713</v>
      </c>
      <c r="AQ203" s="11">
        <f t="shared" ca="1" si="247"/>
        <v>551.03185927743914</v>
      </c>
      <c r="AR203" s="11">
        <f t="shared" ca="1" si="217"/>
        <v>121.31113320841513</v>
      </c>
      <c r="AS203" s="12">
        <f t="shared" ca="1" si="218"/>
        <v>0.2823022624906612</v>
      </c>
      <c r="AT203" s="11">
        <f t="shared" ca="1" si="248"/>
        <v>501.66092928151721</v>
      </c>
      <c r="AU203" s="11">
        <f t="shared" ca="1" si="219"/>
        <v>126.01180556939715</v>
      </c>
      <c r="AV203" s="12">
        <f t="shared" ca="1" si="220"/>
        <v>0.3354508173056906</v>
      </c>
      <c r="AW203" s="10">
        <f t="shared" si="249"/>
        <v>45029</v>
      </c>
      <c r="AX203" s="76">
        <f t="shared" ca="1" si="205"/>
        <v>98662.06290809506</v>
      </c>
      <c r="AY203" s="75">
        <f t="shared" ca="1" si="254"/>
        <v>17.857415759023766</v>
      </c>
      <c r="AZ203" s="75">
        <f t="shared" ca="1" si="250"/>
        <v>11.934675853070454</v>
      </c>
      <c r="BA203" s="75">
        <f t="shared" ca="1" si="206"/>
        <v>5.9227399059533123</v>
      </c>
      <c r="BB203" s="75">
        <f t="shared" ca="1" si="207"/>
        <v>98656.1401681891</v>
      </c>
      <c r="BC203" s="12"/>
      <c r="BD203" s="12"/>
    </row>
    <row r="204" spans="3:56">
      <c r="C204" s="3">
        <f t="shared" si="231"/>
        <v>17</v>
      </c>
      <c r="D204" s="3">
        <f t="shared" si="238"/>
        <v>4</v>
      </c>
      <c r="E204" s="1">
        <f t="shared" si="239"/>
        <v>2036</v>
      </c>
      <c r="F204" s="3">
        <f t="shared" si="232"/>
        <v>74</v>
      </c>
      <c r="G204" s="3">
        <f t="shared" si="240"/>
        <v>200</v>
      </c>
      <c r="H204" s="4">
        <f t="shared" si="255"/>
        <v>94226.723614675982</v>
      </c>
      <c r="L204" s="25" t="str">
        <f t="shared" ca="1" si="233"/>
        <v/>
      </c>
      <c r="M204" s="4">
        <f t="shared" si="234"/>
        <v>94226.723614675982</v>
      </c>
      <c r="N204" s="5">
        <f t="shared" si="210"/>
        <v>2.18E-2</v>
      </c>
      <c r="O204" s="6">
        <f t="shared" si="235"/>
        <v>5.0499999999999996E-2</v>
      </c>
      <c r="P204" s="4">
        <f t="shared" si="229"/>
        <v>396.53746187842808</v>
      </c>
      <c r="Q204" s="7">
        <f t="shared" si="236"/>
        <v>1147.1423660440491</v>
      </c>
      <c r="R204" s="4">
        <f t="shared" si="241"/>
        <v>750.60490416562106</v>
      </c>
      <c r="S204" s="4">
        <f t="shared" si="230"/>
        <v>93476.11871051036</v>
      </c>
      <c r="T204" s="4">
        <f t="shared" si="242"/>
        <v>0</v>
      </c>
      <c r="U204" s="4">
        <f t="shared" si="237"/>
        <v>93476.11871051036</v>
      </c>
      <c r="AE204" s="91" t="str">
        <f t="shared" ca="1" si="256"/>
        <v/>
      </c>
      <c r="AF204" s="70">
        <f t="shared" si="251"/>
        <v>45030</v>
      </c>
      <c r="AG204" s="10">
        <f t="shared" si="228"/>
        <v>45030</v>
      </c>
      <c r="AH204" s="29">
        <f ca="1">IF(AG204=TODAY()-1,Loan!F174,IF(AG204&gt;$AB$13,$AB$55,AH203-AI204*AF203+AI204*AF204))</f>
        <v>2.3010600706713014E-2</v>
      </c>
      <c r="AI204" s="87">
        <f t="shared" ca="1" si="222"/>
        <v>5.8303886925806948E-5</v>
      </c>
      <c r="AJ204" s="76" t="str">
        <f t="shared" ca="1" si="244"/>
        <v/>
      </c>
      <c r="AK204" s="76" t="str">
        <f t="shared" ca="1" si="253"/>
        <v/>
      </c>
      <c r="AL204" s="76" t="str">
        <f t="shared" ca="1" si="223"/>
        <v/>
      </c>
      <c r="AM204" s="11">
        <f t="shared" ca="1" si="245"/>
        <v>230.10600706713012</v>
      </c>
      <c r="AN204" s="11">
        <f t="shared" ca="1" si="246"/>
        <v>628.39620667011479</v>
      </c>
      <c r="AO204" s="11">
        <f t="shared" ca="1" si="215"/>
        <v>116.81011919740365</v>
      </c>
      <c r="AP204" s="12">
        <f t="shared" ca="1" si="216"/>
        <v>0.22832935073441477</v>
      </c>
      <c r="AQ204" s="11">
        <f t="shared" ca="1" si="247"/>
        <v>551.36133578190561</v>
      </c>
      <c r="AR204" s="11">
        <f t="shared" ca="1" si="217"/>
        <v>121.6406097128816</v>
      </c>
      <c r="AS204" s="12">
        <f t="shared" ca="1" si="218"/>
        <v>0.28306898488611193</v>
      </c>
      <c r="AT204" s="11">
        <f t="shared" ca="1" si="248"/>
        <v>502.00569840877387</v>
      </c>
      <c r="AU204" s="11">
        <f t="shared" ca="1" si="219"/>
        <v>126.35657469665381</v>
      </c>
      <c r="AV204" s="12">
        <f t="shared" ca="1" si="220"/>
        <v>0.33636861294394388</v>
      </c>
      <c r="AW204" s="10">
        <f t="shared" si="249"/>
        <v>45030</v>
      </c>
      <c r="AX204" s="76">
        <f t="shared" ca="1" si="205"/>
        <v>98656.1401681891</v>
      </c>
      <c r="AY204" s="75">
        <f t="shared" ca="1" si="254"/>
        <v>17.867011641173008</v>
      </c>
      <c r="AZ204" s="75">
        <f t="shared" ca="1" si="250"/>
        <v>11.949718411620054</v>
      </c>
      <c r="BA204" s="75">
        <f t="shared" ca="1" si="206"/>
        <v>5.9172932295529534</v>
      </c>
      <c r="BB204" s="75">
        <f t="shared" ca="1" si="207"/>
        <v>98650.222874959552</v>
      </c>
      <c r="BC204" s="12"/>
      <c r="BD204" s="12"/>
    </row>
    <row r="205" spans="3:56">
      <c r="C205" s="3">
        <f t="shared" si="231"/>
        <v>17</v>
      </c>
      <c r="D205" s="3">
        <f t="shared" si="238"/>
        <v>5</v>
      </c>
      <c r="E205" s="1">
        <f t="shared" si="239"/>
        <v>2036</v>
      </c>
      <c r="F205" s="3">
        <f t="shared" si="232"/>
        <v>74</v>
      </c>
      <c r="G205" s="3">
        <f t="shared" si="240"/>
        <v>201</v>
      </c>
      <c r="H205" s="4">
        <f t="shared" si="255"/>
        <v>93476.11871051036</v>
      </c>
      <c r="L205" s="25" t="str">
        <f t="shared" ca="1" si="233"/>
        <v/>
      </c>
      <c r="M205" s="4">
        <f t="shared" si="234"/>
        <v>93476.11871051036</v>
      </c>
      <c r="N205" s="5">
        <f t="shared" si="210"/>
        <v>2.18E-2</v>
      </c>
      <c r="O205" s="6">
        <f t="shared" si="235"/>
        <v>5.0499999999999996E-2</v>
      </c>
      <c r="P205" s="4">
        <f t="shared" si="229"/>
        <v>393.37866624006438</v>
      </c>
      <c r="Q205" s="7">
        <f t="shared" si="236"/>
        <v>1147.1423660440491</v>
      </c>
      <c r="R205" s="4">
        <f t="shared" si="241"/>
        <v>753.76369980398476</v>
      </c>
      <c r="S205" s="4">
        <f t="shared" si="230"/>
        <v>92722.355010706378</v>
      </c>
      <c r="T205" s="4">
        <f t="shared" si="242"/>
        <v>0</v>
      </c>
      <c r="U205" s="4">
        <f t="shared" si="237"/>
        <v>92722.355010706378</v>
      </c>
      <c r="AE205" s="91" t="str">
        <f t="shared" ca="1" si="256"/>
        <v/>
      </c>
      <c r="AF205" s="70">
        <f t="shared" si="251"/>
        <v>45033</v>
      </c>
      <c r="AG205" s="10">
        <f t="shared" ref="AG205" si="257">AG204+3</f>
        <v>45033</v>
      </c>
      <c r="AH205" s="29">
        <f ca="1">IF(AG205=TODAY()-1,Loan!F175,IF(AG205&gt;$AB$13,$AB$55,AH204-AI205*AF204+AI205*AF205))</f>
        <v>2.3185512367490446E-2</v>
      </c>
      <c r="AI205" s="87">
        <f t="shared" ca="1" si="222"/>
        <v>5.8303886925804976E-5</v>
      </c>
      <c r="AJ205" s="76" t="str">
        <f t="shared" ca="1" si="244"/>
        <v/>
      </c>
      <c r="AK205" s="76" t="str">
        <f t="shared" ca="1" si="253"/>
        <v/>
      </c>
      <c r="AL205" s="76" t="str">
        <f t="shared" ca="1" si="223"/>
        <v/>
      </c>
      <c r="AM205" s="11">
        <f t="shared" ca="1" si="245"/>
        <v>231.85512367490446</v>
      </c>
      <c r="AN205" s="11">
        <f t="shared" ca="1" si="246"/>
        <v>629.33723297801043</v>
      </c>
      <c r="AO205" s="11">
        <f t="shared" ca="1" si="215"/>
        <v>117.75114550529929</v>
      </c>
      <c r="AP205" s="12">
        <f t="shared" ca="1" si="216"/>
        <v>0.23016877977859462</v>
      </c>
      <c r="AQ205" s="11">
        <f t="shared" ca="1" si="247"/>
        <v>552.3503896079111</v>
      </c>
      <c r="AR205" s="11">
        <f t="shared" ca="1" si="217"/>
        <v>122.62966353888709</v>
      </c>
      <c r="AS205" s="12">
        <f t="shared" ca="1" si="218"/>
        <v>0.28537060490582355</v>
      </c>
      <c r="AT205" s="11">
        <f t="shared" ca="1" si="248"/>
        <v>503.04071687670142</v>
      </c>
      <c r="AU205" s="11">
        <f t="shared" ca="1" si="219"/>
        <v>127.39159316458137</v>
      </c>
      <c r="AV205" s="12">
        <f t="shared" ca="1" si="220"/>
        <v>0.33912389281176208</v>
      </c>
      <c r="AW205" s="10">
        <f t="shared" si="249"/>
        <v>45033</v>
      </c>
      <c r="AX205" s="76">
        <f t="shared" ca="1" si="205"/>
        <v>98650.222874959552</v>
      </c>
      <c r="AY205" s="75">
        <f t="shared" ca="1" si="254"/>
        <v>17.900103896924335</v>
      </c>
      <c r="AZ205" s="75">
        <f t="shared" ca="1" si="250"/>
        <v>11.996275856088236</v>
      </c>
      <c r="BA205" s="75">
        <f t="shared" ca="1" si="206"/>
        <v>5.9038280408360997</v>
      </c>
      <c r="BB205" s="75">
        <f t="shared" ca="1" si="207"/>
        <v>98644.31904691871</v>
      </c>
      <c r="BC205" s="12"/>
      <c r="BD205" s="12"/>
    </row>
    <row r="206" spans="3:56">
      <c r="C206" s="3">
        <f t="shared" si="231"/>
        <v>17</v>
      </c>
      <c r="D206" s="3">
        <f t="shared" si="238"/>
        <v>6</v>
      </c>
      <c r="E206" s="1">
        <f t="shared" si="239"/>
        <v>2036</v>
      </c>
      <c r="F206" s="3">
        <f t="shared" si="232"/>
        <v>74</v>
      </c>
      <c r="G206" s="3">
        <f t="shared" si="240"/>
        <v>202</v>
      </c>
      <c r="H206" s="4">
        <f t="shared" si="255"/>
        <v>92722.355010706378</v>
      </c>
      <c r="L206" s="25" t="str">
        <f t="shared" ca="1" si="233"/>
        <v/>
      </c>
      <c r="M206" s="4">
        <f t="shared" si="234"/>
        <v>92722.355010706378</v>
      </c>
      <c r="N206" s="5">
        <f t="shared" si="210"/>
        <v>2.18E-2</v>
      </c>
      <c r="O206" s="6">
        <f t="shared" si="235"/>
        <v>5.0499999999999996E-2</v>
      </c>
      <c r="P206" s="4">
        <f t="shared" si="229"/>
        <v>390.20657733672266</v>
      </c>
      <c r="Q206" s="7">
        <f t="shared" si="236"/>
        <v>1147.1423660440498</v>
      </c>
      <c r="R206" s="4">
        <f t="shared" si="241"/>
        <v>756.93578870732722</v>
      </c>
      <c r="S206" s="4">
        <f t="shared" si="230"/>
        <v>91965.419221999051</v>
      </c>
      <c r="T206" s="4">
        <f t="shared" si="242"/>
        <v>0</v>
      </c>
      <c r="U206" s="4">
        <f t="shared" si="237"/>
        <v>91965.419221999051</v>
      </c>
      <c r="AE206" s="91" t="str">
        <f t="shared" ca="1" si="256"/>
        <v/>
      </c>
      <c r="AF206" s="70">
        <f t="shared" si="251"/>
        <v>45034</v>
      </c>
      <c r="AG206" s="10">
        <f t="shared" ref="AG206" si="258">AG205+1</f>
        <v>45034</v>
      </c>
      <c r="AH206" s="29">
        <f ca="1">IF(AG206=TODAY()-1,Loan!F176,IF(AG206&gt;$AB$13,$AB$55,AH205-AI206*AF205+AI206*AF206))</f>
        <v>2.3243816254416405E-2</v>
      </c>
      <c r="AI206" s="87">
        <f t="shared" ca="1" si="222"/>
        <v>5.8303886925804739E-5</v>
      </c>
      <c r="AJ206" s="76" t="str">
        <f t="shared" ca="1" si="244"/>
        <v/>
      </c>
      <c r="AK206" s="76" t="str">
        <f t="shared" ca="1" si="253"/>
        <v/>
      </c>
      <c r="AL206" s="76" t="str">
        <f t="shared" ca="1" si="223"/>
        <v/>
      </c>
      <c r="AM206" s="11">
        <f t="shared" ca="1" si="245"/>
        <v>232.43816254416404</v>
      </c>
      <c r="AN206" s="11">
        <f t="shared" ca="1" si="246"/>
        <v>629.65108216403121</v>
      </c>
      <c r="AO206" s="11">
        <f t="shared" ca="1" si="215"/>
        <v>118.06499469132007</v>
      </c>
      <c r="AP206" s="12">
        <f t="shared" ca="1" si="216"/>
        <v>0.23078226242346328</v>
      </c>
      <c r="AQ206" s="11">
        <f t="shared" ca="1" si="247"/>
        <v>552.68028220944552</v>
      </c>
      <c r="AR206" s="11">
        <f t="shared" ca="1" si="217"/>
        <v>122.95955614042151</v>
      </c>
      <c r="AS206" s="12">
        <f t="shared" ca="1" si="218"/>
        <v>0.28613829559775783</v>
      </c>
      <c r="AT206" s="11">
        <f t="shared" ca="1" si="248"/>
        <v>503.38595988181356</v>
      </c>
      <c r="AU206" s="11">
        <f t="shared" ca="1" si="219"/>
        <v>127.7368361696935</v>
      </c>
      <c r="AV206" s="12">
        <f t="shared" ca="1" si="220"/>
        <v>0.3400429499406607</v>
      </c>
      <c r="AW206" s="10">
        <f t="shared" si="249"/>
        <v>45034</v>
      </c>
      <c r="AX206" s="76">
        <f t="shared" ca="1" si="205"/>
        <v>98644.31904691871</v>
      </c>
      <c r="AY206" s="75">
        <f t="shared" ca="1" si="254"/>
        <v>17.907571074347455</v>
      </c>
      <c r="AZ206" s="75">
        <f t="shared" ca="1" si="250"/>
        <v>12.011315041817216</v>
      </c>
      <c r="BA206" s="75">
        <f t="shared" ca="1" si="206"/>
        <v>5.8962560325302391</v>
      </c>
      <c r="BB206" s="75">
        <f t="shared" ca="1" si="207"/>
        <v>98638.422790886179</v>
      </c>
      <c r="BC206" s="12"/>
      <c r="BD206" s="12"/>
    </row>
    <row r="207" spans="3:56">
      <c r="C207" s="3">
        <f t="shared" si="231"/>
        <v>17</v>
      </c>
      <c r="D207" s="3">
        <f t="shared" si="238"/>
        <v>7</v>
      </c>
      <c r="E207" s="1">
        <f t="shared" si="239"/>
        <v>2036</v>
      </c>
      <c r="F207" s="3">
        <f t="shared" si="232"/>
        <v>74</v>
      </c>
      <c r="G207" s="3">
        <f t="shared" si="240"/>
        <v>203</v>
      </c>
      <c r="H207" s="4">
        <f t="shared" si="255"/>
        <v>91965.419221999051</v>
      </c>
      <c r="L207" s="25" t="str">
        <f t="shared" ca="1" si="233"/>
        <v/>
      </c>
      <c r="M207" s="4">
        <f t="shared" si="234"/>
        <v>91965.419221999051</v>
      </c>
      <c r="N207" s="5">
        <f t="shared" si="210"/>
        <v>2.18E-2</v>
      </c>
      <c r="O207" s="6">
        <f t="shared" si="235"/>
        <v>5.0499999999999996E-2</v>
      </c>
      <c r="P207" s="4">
        <f t="shared" si="229"/>
        <v>387.02113922591269</v>
      </c>
      <c r="Q207" s="7">
        <f t="shared" si="236"/>
        <v>1147.1423660440498</v>
      </c>
      <c r="R207" s="4">
        <f t="shared" si="241"/>
        <v>760.12122681813707</v>
      </c>
      <c r="S207" s="4">
        <f t="shared" si="230"/>
        <v>91205.29799518091</v>
      </c>
      <c r="T207" s="4">
        <f t="shared" si="242"/>
        <v>0</v>
      </c>
      <c r="U207" s="4">
        <f t="shared" si="237"/>
        <v>91205.29799518091</v>
      </c>
      <c r="AE207" s="91" t="str">
        <f t="shared" ca="1" si="256"/>
        <v/>
      </c>
      <c r="AF207" s="70">
        <f t="shared" si="251"/>
        <v>45035</v>
      </c>
      <c r="AG207" s="10">
        <f t="shared" si="228"/>
        <v>45035</v>
      </c>
      <c r="AH207" s="29">
        <f ca="1">IF(AG207=TODAY()-1,Loan!F177,IF(AG207&gt;$AB$13,$AB$55,AH206-AI207*AF206+AI207*AF207))</f>
        <v>2.3302120141342364E-2</v>
      </c>
      <c r="AI207" s="87">
        <f t="shared" ca="1" si="222"/>
        <v>5.8303886925802625E-5</v>
      </c>
      <c r="AJ207" s="76" t="str">
        <f t="shared" ca="1" si="244"/>
        <v/>
      </c>
      <c r="AK207" s="76" t="str">
        <f t="shared" ca="1" si="253"/>
        <v/>
      </c>
      <c r="AL207" s="76" t="str">
        <f t="shared" ca="1" si="223"/>
        <v/>
      </c>
      <c r="AM207" s="11">
        <f t="shared" ca="1" si="245"/>
        <v>233.02120141342363</v>
      </c>
      <c r="AN207" s="11">
        <f t="shared" ca="1" si="246"/>
        <v>629.96501819464413</v>
      </c>
      <c r="AO207" s="11">
        <f t="shared" ca="1" si="215"/>
        <v>118.37893072193299</v>
      </c>
      <c r="AP207" s="12">
        <f t="shared" ca="1" si="216"/>
        <v>0.23139591482391028</v>
      </c>
      <c r="AQ207" s="11">
        <f t="shared" ca="1" si="247"/>
        <v>553.01027875166039</v>
      </c>
      <c r="AR207" s="11">
        <f t="shared" ca="1" si="217"/>
        <v>123.28955268263638</v>
      </c>
      <c r="AS207" s="12">
        <f t="shared" ca="1" si="218"/>
        <v>0.28690622816929934</v>
      </c>
      <c r="AT207" s="11">
        <f t="shared" ca="1" si="248"/>
        <v>503.73132122159325</v>
      </c>
      <c r="AU207" s="11">
        <f t="shared" ca="1" si="219"/>
        <v>128.08219750947319</v>
      </c>
      <c r="AV207" s="12">
        <f t="shared" ca="1" si="220"/>
        <v>0.34096232208338495</v>
      </c>
      <c r="AW207" s="10">
        <f t="shared" si="249"/>
        <v>45035</v>
      </c>
      <c r="AX207" s="76">
        <f t="shared" ca="1" si="205"/>
        <v>98638.422790886179</v>
      </c>
      <c r="AY207" s="75">
        <f t="shared" ca="1" si="254"/>
        <v>17.917183590576307</v>
      </c>
      <c r="AZ207" s="75">
        <f t="shared" ca="1" si="250"/>
        <v>12.026353264637097</v>
      </c>
      <c r="BA207" s="75">
        <f t="shared" ca="1" si="206"/>
        <v>5.890830325939211</v>
      </c>
      <c r="BB207" s="75">
        <f t="shared" ca="1" si="207"/>
        <v>98632.531960560242</v>
      </c>
      <c r="BC207" s="12"/>
      <c r="BD207" s="12"/>
    </row>
    <row r="208" spans="3:56">
      <c r="C208" s="3">
        <f t="shared" si="231"/>
        <v>17</v>
      </c>
      <c r="D208" s="3">
        <f t="shared" si="238"/>
        <v>8</v>
      </c>
      <c r="E208" s="1">
        <f t="shared" si="239"/>
        <v>2036</v>
      </c>
      <c r="F208" s="3">
        <f t="shared" si="232"/>
        <v>74</v>
      </c>
      <c r="G208" s="3">
        <f t="shared" si="240"/>
        <v>204</v>
      </c>
      <c r="H208" s="4">
        <f t="shared" si="255"/>
        <v>91205.29799518091</v>
      </c>
      <c r="L208" s="25" t="str">
        <f t="shared" ca="1" si="233"/>
        <v/>
      </c>
      <c r="M208" s="4">
        <f t="shared" si="234"/>
        <v>91205.29799518091</v>
      </c>
      <c r="N208" s="5">
        <f t="shared" si="210"/>
        <v>2.18E-2</v>
      </c>
      <c r="O208" s="6">
        <f t="shared" si="235"/>
        <v>5.0499999999999996E-2</v>
      </c>
      <c r="P208" s="4">
        <f t="shared" si="229"/>
        <v>383.8222957297196</v>
      </c>
      <c r="Q208" s="7">
        <f t="shared" si="236"/>
        <v>1147.14236604405</v>
      </c>
      <c r="R208" s="4">
        <f t="shared" si="241"/>
        <v>763.32007031433045</v>
      </c>
      <c r="S208" s="4">
        <f t="shared" si="230"/>
        <v>90441.977924866573</v>
      </c>
      <c r="T208" s="4">
        <f t="shared" si="242"/>
        <v>0</v>
      </c>
      <c r="U208" s="4">
        <f t="shared" si="237"/>
        <v>90441.977924866573</v>
      </c>
      <c r="AE208" s="91" t="str">
        <f t="shared" ca="1" si="256"/>
        <v/>
      </c>
      <c r="AF208" s="70">
        <f t="shared" si="251"/>
        <v>45036</v>
      </c>
      <c r="AG208" s="10">
        <f t="shared" si="228"/>
        <v>45036</v>
      </c>
      <c r="AH208" s="29">
        <f ca="1">IF(AG208=TODAY()-1,Loan!F178,IF(AG208&gt;$AB$13,$AB$55,AH207-AI208*AF207+AI208*AF208))</f>
        <v>2.3360424028268323E-2</v>
      </c>
      <c r="AI208" s="87">
        <f t="shared" ca="1" si="222"/>
        <v>5.8303886925800456E-5</v>
      </c>
      <c r="AJ208" s="76" t="str">
        <f t="shared" ca="1" si="244"/>
        <v/>
      </c>
      <c r="AK208" s="76" t="str">
        <f t="shared" ca="1" si="253"/>
        <v/>
      </c>
      <c r="AL208" s="76" t="str">
        <f t="shared" ca="1" si="223"/>
        <v/>
      </c>
      <c r="AM208" s="11">
        <f t="shared" ca="1" si="245"/>
        <v>233.60424028268324</v>
      </c>
      <c r="AN208" s="11">
        <f t="shared" ca="1" si="246"/>
        <v>630.27904105161258</v>
      </c>
      <c r="AO208" s="11">
        <f t="shared" ca="1" si="215"/>
        <v>118.69295357890144</v>
      </c>
      <c r="AP208" s="12">
        <f t="shared" ca="1" si="216"/>
        <v>0.23200973694428842</v>
      </c>
      <c r="AQ208" s="11">
        <f t="shared" ca="1" si="247"/>
        <v>553.34037920109915</v>
      </c>
      <c r="AR208" s="11">
        <f t="shared" ca="1" si="217"/>
        <v>123.61965313207514</v>
      </c>
      <c r="AS208" s="12">
        <f t="shared" ca="1" si="218"/>
        <v>0.28767440254259158</v>
      </c>
      <c r="AT208" s="11">
        <f t="shared" ca="1" si="248"/>
        <v>504.0768008420722</v>
      </c>
      <c r="AU208" s="11">
        <f t="shared" ca="1" si="219"/>
        <v>128.42767712995214</v>
      </c>
      <c r="AV208" s="12">
        <f t="shared" ca="1" si="220"/>
        <v>0.34188200909626804</v>
      </c>
      <c r="AW208" s="10">
        <f t="shared" si="249"/>
        <v>45036</v>
      </c>
      <c r="AX208" s="76">
        <f t="shared" ca="1" si="205"/>
        <v>98632.531960560242</v>
      </c>
      <c r="AY208" s="75">
        <f t="shared" ca="1" si="254"/>
        <v>17.926799201591479</v>
      </c>
      <c r="AZ208" s="75">
        <f t="shared" ca="1" si="250"/>
        <v>12.041390266148747</v>
      </c>
      <c r="BA208" s="75">
        <f t="shared" ca="1" si="206"/>
        <v>5.8854089354427312</v>
      </c>
      <c r="BB208" s="75">
        <f t="shared" ca="1" si="207"/>
        <v>98626.646551624799</v>
      </c>
      <c r="BC208" s="12"/>
      <c r="BD208" s="12"/>
    </row>
    <row r="209" spans="3:56">
      <c r="C209" s="3">
        <f t="shared" si="231"/>
        <v>18</v>
      </c>
      <c r="D209" s="3">
        <f t="shared" si="238"/>
        <v>9</v>
      </c>
      <c r="E209" s="1">
        <f t="shared" si="239"/>
        <v>2036</v>
      </c>
      <c r="F209" s="3">
        <f t="shared" si="232"/>
        <v>74</v>
      </c>
      <c r="G209" s="3">
        <f t="shared" si="240"/>
        <v>205</v>
      </c>
      <c r="H209" s="4">
        <f t="shared" si="255"/>
        <v>90441.977924866573</v>
      </c>
      <c r="L209" s="25" t="str">
        <f t="shared" ca="1" si="233"/>
        <v/>
      </c>
      <c r="M209" s="4">
        <f t="shared" si="234"/>
        <v>90441.977924866573</v>
      </c>
      <c r="N209" s="5">
        <f t="shared" si="210"/>
        <v>2.18E-2</v>
      </c>
      <c r="O209" s="6">
        <f t="shared" si="235"/>
        <v>5.0499999999999996E-2</v>
      </c>
      <c r="P209" s="4">
        <f t="shared" si="229"/>
        <v>380.60999043381344</v>
      </c>
      <c r="Q209" s="7">
        <f t="shared" si="236"/>
        <v>1147.1423660440498</v>
      </c>
      <c r="R209" s="4">
        <f t="shared" si="241"/>
        <v>766.53237561023639</v>
      </c>
      <c r="S209" s="4">
        <f t="shared" si="230"/>
        <v>89675.445549256343</v>
      </c>
      <c r="T209" s="4">
        <f t="shared" si="242"/>
        <v>0</v>
      </c>
      <c r="U209" s="4">
        <f t="shared" si="237"/>
        <v>89675.445549256343</v>
      </c>
      <c r="AE209" s="91" t="str">
        <f t="shared" ca="1" si="256"/>
        <v/>
      </c>
      <c r="AF209" s="70">
        <f t="shared" si="251"/>
        <v>45037</v>
      </c>
      <c r="AG209" s="10">
        <f t="shared" si="228"/>
        <v>45037</v>
      </c>
      <c r="AH209" s="29">
        <f ca="1">IF(AG209=TODAY()-1,Loan!F179,IF(AG209&gt;$AB$13,$AB$55,AH208-AI209*AF208+AI209*AF209))</f>
        <v>2.3418727915194282E-2</v>
      </c>
      <c r="AI209" s="87">
        <f t="shared" ca="1" si="222"/>
        <v>5.830388692579822E-5</v>
      </c>
      <c r="AJ209" s="76" t="str">
        <f t="shared" ca="1" si="244"/>
        <v/>
      </c>
      <c r="AK209" s="76" t="str">
        <f t="shared" ca="1" si="253"/>
        <v/>
      </c>
      <c r="AL209" s="76" t="str">
        <f t="shared" ca="1" si="223"/>
        <v/>
      </c>
      <c r="AM209" s="11">
        <f t="shared" ca="1" si="245"/>
        <v>234.18727915194282</v>
      </c>
      <c r="AN209" s="11">
        <f t="shared" ca="1" si="246"/>
        <v>630.59315071658614</v>
      </c>
      <c r="AO209" s="11">
        <f t="shared" ca="1" si="215"/>
        <v>119.007063243875</v>
      </c>
      <c r="AP209" s="12">
        <f t="shared" ca="1" si="216"/>
        <v>0.232623728748728</v>
      </c>
      <c r="AQ209" s="11">
        <f t="shared" ca="1" si="247"/>
        <v>553.67058352420258</v>
      </c>
      <c r="AR209" s="11">
        <f t="shared" ca="1" si="217"/>
        <v>123.94985745517857</v>
      </c>
      <c r="AS209" s="12">
        <f t="shared" ca="1" si="218"/>
        <v>0.28844281863953913</v>
      </c>
      <c r="AT209" s="11">
        <f t="shared" ca="1" si="248"/>
        <v>504.42239868918347</v>
      </c>
      <c r="AU209" s="11">
        <f t="shared" ca="1" si="219"/>
        <v>128.77327497706341</v>
      </c>
      <c r="AV209" s="12">
        <f t="shared" ca="1" si="220"/>
        <v>0.34280201083538059</v>
      </c>
      <c r="AW209" s="10">
        <f t="shared" si="249"/>
        <v>45037</v>
      </c>
      <c r="AX209" s="76">
        <f t="shared" ca="1" si="205"/>
        <v>98626.646551624799</v>
      </c>
      <c r="AY209" s="75">
        <f t="shared" ca="1" si="254"/>
        <v>17.936417906714269</v>
      </c>
      <c r="AZ209" s="75">
        <f t="shared" ca="1" si="250"/>
        <v>12.056426048424607</v>
      </c>
      <c r="BA209" s="75">
        <f t="shared" ca="1" si="206"/>
        <v>5.879991858289662</v>
      </c>
      <c r="BB209" s="75">
        <f t="shared" ca="1" si="207"/>
        <v>98620.766559766504</v>
      </c>
      <c r="BC209" s="12"/>
      <c r="BD209" s="12"/>
    </row>
    <row r="210" spans="3:56">
      <c r="C210" s="3">
        <f t="shared" si="231"/>
        <v>18</v>
      </c>
      <c r="D210" s="3">
        <f t="shared" si="238"/>
        <v>10</v>
      </c>
      <c r="E210" s="1">
        <f t="shared" si="239"/>
        <v>2036</v>
      </c>
      <c r="F210" s="3">
        <f t="shared" si="232"/>
        <v>74</v>
      </c>
      <c r="G210" s="3">
        <f t="shared" si="240"/>
        <v>206</v>
      </c>
      <c r="H210" s="4">
        <f t="shared" si="255"/>
        <v>89675.445549256343</v>
      </c>
      <c r="L210" s="25" t="str">
        <f t="shared" ca="1" si="233"/>
        <v/>
      </c>
      <c r="M210" s="4">
        <f t="shared" si="234"/>
        <v>89675.445549256343</v>
      </c>
      <c r="N210" s="5">
        <f t="shared" si="210"/>
        <v>2.18E-2</v>
      </c>
      <c r="O210" s="6">
        <f t="shared" si="235"/>
        <v>5.0499999999999996E-2</v>
      </c>
      <c r="P210" s="4">
        <f t="shared" si="229"/>
        <v>377.38416668645374</v>
      </c>
      <c r="Q210" s="7">
        <f t="shared" si="236"/>
        <v>1147.1423660440505</v>
      </c>
      <c r="R210" s="4">
        <f t="shared" si="241"/>
        <v>769.75819935759682</v>
      </c>
      <c r="S210" s="4">
        <f t="shared" si="230"/>
        <v>88905.687349898741</v>
      </c>
      <c r="T210" s="4">
        <f t="shared" si="242"/>
        <v>0</v>
      </c>
      <c r="U210" s="4">
        <f t="shared" si="237"/>
        <v>88905.687349898741</v>
      </c>
      <c r="AE210" s="91" t="str">
        <f t="shared" ca="1" si="256"/>
        <v/>
      </c>
      <c r="AF210" s="70">
        <f t="shared" si="251"/>
        <v>45040</v>
      </c>
      <c r="AG210" s="10">
        <f t="shared" ref="AG210" si="259">AG209+3</f>
        <v>45040</v>
      </c>
      <c r="AH210" s="29">
        <f ca="1">IF(AG210=TODAY()-1,Loan!F180,IF(AG210&gt;$AB$13,$AB$55,AH209-AI210*AF209+AI210*AF210))</f>
        <v>2.3593639575971714E-2</v>
      </c>
      <c r="AI210" s="87">
        <f t="shared" ca="1" si="222"/>
        <v>5.830388692579593E-5</v>
      </c>
      <c r="AJ210" s="76" t="str">
        <f t="shared" ca="1" si="244"/>
        <v/>
      </c>
      <c r="AK210" s="76" t="str">
        <f t="shared" ca="1" si="253"/>
        <v/>
      </c>
      <c r="AL210" s="76" t="str">
        <f t="shared" ca="1" si="223"/>
        <v/>
      </c>
      <c r="AM210" s="11">
        <f t="shared" ca="1" si="245"/>
        <v>235.93639575971713</v>
      </c>
      <c r="AN210" s="11">
        <f t="shared" ca="1" si="246"/>
        <v>631.53600037640319</v>
      </c>
      <c r="AO210" s="11">
        <f t="shared" ca="1" si="215"/>
        <v>119.94991290369205</v>
      </c>
      <c r="AP210" s="12">
        <f t="shared" ca="1" si="216"/>
        <v>0.23446672190844201</v>
      </c>
      <c r="AQ210" s="11">
        <f t="shared" ca="1" si="247"/>
        <v>554.66181939995431</v>
      </c>
      <c r="AR210" s="11">
        <f t="shared" ca="1" si="217"/>
        <v>124.9410933309303</v>
      </c>
      <c r="AS210" s="12">
        <f t="shared" ca="1" si="218"/>
        <v>0.29074951649146569</v>
      </c>
      <c r="AT210" s="11">
        <f t="shared" ca="1" si="248"/>
        <v>505.45990104943633</v>
      </c>
      <c r="AU210" s="11">
        <f t="shared" ca="1" si="219"/>
        <v>129.81077733731627</v>
      </c>
      <c r="AV210" s="12">
        <f t="shared" ca="1" si="220"/>
        <v>0.34556390297025474</v>
      </c>
      <c r="AW210" s="10">
        <f t="shared" si="249"/>
        <v>45040</v>
      </c>
      <c r="AX210" s="76">
        <f t="shared" ca="1" si="205"/>
        <v>98620.766559766504</v>
      </c>
      <c r="AY210" s="75">
        <f t="shared" ca="1" si="254"/>
        <v>17.969569384615397</v>
      </c>
      <c r="AZ210" s="75">
        <f t="shared" ca="1" si="250"/>
        <v>12.102967320504726</v>
      </c>
      <c r="BA210" s="75">
        <f t="shared" ca="1" si="206"/>
        <v>5.8666020641106709</v>
      </c>
      <c r="BB210" s="75">
        <f t="shared" ca="1" si="207"/>
        <v>98614.899957702393</v>
      </c>
      <c r="BC210" s="12"/>
      <c r="BD210" s="12"/>
    </row>
    <row r="211" spans="3:56">
      <c r="C211" s="3">
        <f t="shared" si="231"/>
        <v>18</v>
      </c>
      <c r="D211" s="3">
        <f t="shared" si="238"/>
        <v>11</v>
      </c>
      <c r="E211" s="1">
        <f t="shared" si="239"/>
        <v>2036</v>
      </c>
      <c r="F211" s="3">
        <f t="shared" si="232"/>
        <v>74</v>
      </c>
      <c r="G211" s="3">
        <f t="shared" si="240"/>
        <v>207</v>
      </c>
      <c r="H211" s="4">
        <f t="shared" si="255"/>
        <v>88905.687349898741</v>
      </c>
      <c r="L211" s="25" t="str">
        <f t="shared" ca="1" si="233"/>
        <v/>
      </c>
      <c r="M211" s="4">
        <f t="shared" si="234"/>
        <v>88905.687349898741</v>
      </c>
      <c r="N211" s="5">
        <f t="shared" si="210"/>
        <v>2.18E-2</v>
      </c>
      <c r="O211" s="6">
        <f t="shared" si="235"/>
        <v>5.0499999999999996E-2</v>
      </c>
      <c r="P211" s="4">
        <f t="shared" si="229"/>
        <v>374.1447675974905</v>
      </c>
      <c r="Q211" s="7">
        <f t="shared" si="236"/>
        <v>1147.1423660440496</v>
      </c>
      <c r="R211" s="4">
        <f t="shared" si="241"/>
        <v>772.9975984465591</v>
      </c>
      <c r="S211" s="4">
        <f t="shared" si="230"/>
        <v>88132.689751452184</v>
      </c>
      <c r="T211" s="4">
        <f t="shared" si="242"/>
        <v>0</v>
      </c>
      <c r="U211" s="4">
        <f t="shared" si="237"/>
        <v>88132.689751452184</v>
      </c>
      <c r="AE211" s="91" t="str">
        <f t="shared" ca="1" si="256"/>
        <v/>
      </c>
      <c r="AF211" s="70">
        <f t="shared" si="251"/>
        <v>45041</v>
      </c>
      <c r="AG211" s="10">
        <f t="shared" ref="AG211" si="260">AG210+1</f>
        <v>45041</v>
      </c>
      <c r="AH211" s="29">
        <f ca="1">IF(AG211=TODAY()-1,Loan!F181,IF(AG211&gt;$AB$13,$AB$55,AH210-AI211*AF210+AI211*AF211))</f>
        <v>2.3651943462897673E-2</v>
      </c>
      <c r="AI211" s="87">
        <f t="shared" ca="1" si="222"/>
        <v>5.8303886925795259E-5</v>
      </c>
      <c r="AJ211" s="76" t="str">
        <f t="shared" ca="1" si="244"/>
        <v/>
      </c>
      <c r="AK211" s="76" t="str">
        <f t="shared" ca="1" si="253"/>
        <v/>
      </c>
      <c r="AL211" s="76" t="str">
        <f t="shared" ca="1" si="223"/>
        <v/>
      </c>
      <c r="AM211" s="11">
        <f t="shared" ca="1" si="245"/>
        <v>236.51943462897674</v>
      </c>
      <c r="AN211" s="11">
        <f t="shared" ca="1" si="246"/>
        <v>631.85045709015094</v>
      </c>
      <c r="AO211" s="11">
        <f t="shared" ca="1" si="215"/>
        <v>120.2643696174398</v>
      </c>
      <c r="AP211" s="12">
        <f t="shared" ca="1" si="216"/>
        <v>0.23508139209093504</v>
      </c>
      <c r="AQ211" s="11">
        <f t="shared" ca="1" si="247"/>
        <v>554.99243888200658</v>
      </c>
      <c r="AR211" s="11">
        <f t="shared" ca="1" si="217"/>
        <v>125.27171281298257</v>
      </c>
      <c r="AS211" s="12">
        <f t="shared" ca="1" si="218"/>
        <v>0.29151889870180653</v>
      </c>
      <c r="AT211" s="11">
        <f t="shared" ca="1" si="248"/>
        <v>505.80597126199206</v>
      </c>
      <c r="AU211" s="11">
        <f t="shared" ca="1" si="219"/>
        <v>130.156847549872</v>
      </c>
      <c r="AV211" s="12">
        <f t="shared" ca="1" si="220"/>
        <v>0.34648516217388575</v>
      </c>
      <c r="AW211" s="10">
        <f t="shared" si="249"/>
        <v>45041</v>
      </c>
      <c r="AX211" s="76">
        <f t="shared" ca="1" si="205"/>
        <v>98614.899957702393</v>
      </c>
      <c r="AY211" s="75">
        <f t="shared" ca="1" si="254"/>
        <v>17.977063971462634</v>
      </c>
      <c r="AZ211" s="75">
        <f t="shared" ca="1" si="250"/>
        <v>12.117999773978571</v>
      </c>
      <c r="BA211" s="75">
        <f t="shared" ca="1" si="206"/>
        <v>5.8590641974840629</v>
      </c>
      <c r="BB211" s="75">
        <f t="shared" ca="1" si="207"/>
        <v>98609.040893504905</v>
      </c>
      <c r="BC211" s="12"/>
      <c r="BD211" s="12"/>
    </row>
    <row r="212" spans="3:56">
      <c r="C212" s="3">
        <f t="shared" si="231"/>
        <v>18</v>
      </c>
      <c r="D212" s="3">
        <f t="shared" si="238"/>
        <v>12</v>
      </c>
      <c r="E212" s="1">
        <f t="shared" si="239"/>
        <v>2036</v>
      </c>
      <c r="F212" s="3">
        <f t="shared" si="232"/>
        <v>74</v>
      </c>
      <c r="G212" s="3">
        <f t="shared" si="240"/>
        <v>208</v>
      </c>
      <c r="H212" s="4">
        <f t="shared" si="255"/>
        <v>88132.689751452184</v>
      </c>
      <c r="L212" s="25" t="str">
        <f t="shared" ca="1" si="233"/>
        <v/>
      </c>
      <c r="M212" s="4">
        <f t="shared" si="234"/>
        <v>88132.689751452184</v>
      </c>
      <c r="N212" s="5">
        <f t="shared" si="210"/>
        <v>2.18E-2</v>
      </c>
      <c r="O212" s="6">
        <f t="shared" si="235"/>
        <v>5.0499999999999996E-2</v>
      </c>
      <c r="P212" s="4">
        <f t="shared" si="229"/>
        <v>370.89173603736123</v>
      </c>
      <c r="Q212" s="7">
        <f t="shared" si="236"/>
        <v>1147.1423660440505</v>
      </c>
      <c r="R212" s="4">
        <f t="shared" si="241"/>
        <v>776.25063000668933</v>
      </c>
      <c r="S212" s="4">
        <f t="shared" si="230"/>
        <v>87356.439121445495</v>
      </c>
      <c r="T212" s="4">
        <f t="shared" si="242"/>
        <v>0</v>
      </c>
      <c r="U212" s="4">
        <f t="shared" si="237"/>
        <v>87356.439121445495</v>
      </c>
      <c r="AE212" s="91" t="str">
        <f t="shared" ca="1" si="256"/>
        <v/>
      </c>
      <c r="AF212" s="70">
        <f t="shared" si="251"/>
        <v>45042</v>
      </c>
      <c r="AG212" s="10">
        <f t="shared" si="228"/>
        <v>45042</v>
      </c>
      <c r="AH212" s="29">
        <f ca="1">IF(AG212=TODAY()-1,Loan!F182,IF(AG212&gt;$AB$13,$AB$55,AH211-AI212*AF211+AI212*AF212))</f>
        <v>2.3710247349823632E-2</v>
      </c>
      <c r="AI212" s="87">
        <f t="shared" ca="1" si="222"/>
        <v>5.8303886925792779E-5</v>
      </c>
      <c r="AJ212" s="76" t="str">
        <f t="shared" ca="1" si="244"/>
        <v/>
      </c>
      <c r="AK212" s="76" t="str">
        <f t="shared" ca="1" si="253"/>
        <v/>
      </c>
      <c r="AL212" s="76" t="str">
        <f t="shared" ca="1" si="223"/>
        <v/>
      </c>
      <c r="AM212" s="11">
        <f t="shared" ca="1" si="245"/>
        <v>237.10247349823632</v>
      </c>
      <c r="AN212" s="11">
        <f t="shared" ca="1" si="246"/>
        <v>632.16500052014362</v>
      </c>
      <c r="AO212" s="11">
        <f t="shared" ca="1" si="215"/>
        <v>120.57891304743248</v>
      </c>
      <c r="AP212" s="12">
        <f t="shared" ca="1" si="216"/>
        <v>0.23569623177812543</v>
      </c>
      <c r="AQ212" s="11">
        <f t="shared" ca="1" si="247"/>
        <v>555.32316206968551</v>
      </c>
      <c r="AR212" s="11">
        <f t="shared" ca="1" si="217"/>
        <v>125.6024360006615</v>
      </c>
      <c r="AS212" s="12">
        <f t="shared" ca="1" si="218"/>
        <v>0.29228852224476271</v>
      </c>
      <c r="AT212" s="11">
        <f t="shared" ca="1" si="248"/>
        <v>506.15215943041153</v>
      </c>
      <c r="AU212" s="11">
        <f t="shared" ca="1" si="219"/>
        <v>130.50303571829147</v>
      </c>
      <c r="AV212" s="12">
        <f t="shared" ca="1" si="220"/>
        <v>0.34740673538294448</v>
      </c>
      <c r="AW212" s="10">
        <f t="shared" si="249"/>
        <v>45042</v>
      </c>
      <c r="AX212" s="76">
        <f t="shared" ca="1" si="205"/>
        <v>98609.040893504905</v>
      </c>
      <c r="AY212" s="75">
        <f t="shared" ca="1" si="254"/>
        <v>17.986699283744048</v>
      </c>
      <c r="AZ212" s="75">
        <f t="shared" ca="1" si="250"/>
        <v>12.133031280701863</v>
      </c>
      <c r="BA212" s="75">
        <f t="shared" ca="1" si="206"/>
        <v>5.8536680030421859</v>
      </c>
      <c r="BB212" s="75">
        <f t="shared" ca="1" si="207"/>
        <v>98603.187225501868</v>
      </c>
      <c r="BC212" s="12"/>
      <c r="BD212" s="12"/>
    </row>
    <row r="213" spans="3:56">
      <c r="C213" s="3">
        <f t="shared" si="231"/>
        <v>18</v>
      </c>
      <c r="D213" s="3">
        <f t="shared" si="238"/>
        <v>1</v>
      </c>
      <c r="E213" s="1">
        <f t="shared" si="239"/>
        <v>2037</v>
      </c>
      <c r="F213" s="3">
        <f t="shared" si="232"/>
        <v>74</v>
      </c>
      <c r="G213" s="3">
        <f t="shared" si="240"/>
        <v>209</v>
      </c>
      <c r="H213" s="4">
        <f t="shared" si="255"/>
        <v>87356.439121445495</v>
      </c>
      <c r="L213" s="25" t="str">
        <f t="shared" ca="1" si="233"/>
        <v/>
      </c>
      <c r="M213" s="4">
        <f t="shared" si="234"/>
        <v>87356.439121445495</v>
      </c>
      <c r="N213" s="5">
        <f t="shared" si="210"/>
        <v>2.18E-2</v>
      </c>
      <c r="O213" s="6">
        <f t="shared" si="235"/>
        <v>5.0499999999999996E-2</v>
      </c>
      <c r="P213" s="4">
        <f t="shared" si="229"/>
        <v>367.62501463608311</v>
      </c>
      <c r="Q213" s="7">
        <f t="shared" si="236"/>
        <v>1147.14236604405</v>
      </c>
      <c r="R213" s="4">
        <f t="shared" si="241"/>
        <v>779.517351407967</v>
      </c>
      <c r="S213" s="4">
        <f t="shared" si="230"/>
        <v>86576.92177003753</v>
      </c>
      <c r="T213" s="4">
        <f t="shared" si="242"/>
        <v>0</v>
      </c>
      <c r="U213" s="4">
        <f t="shared" si="237"/>
        <v>86576.92177003753</v>
      </c>
      <c r="AE213" s="91" t="str">
        <f t="shared" ca="1" si="256"/>
        <v/>
      </c>
      <c r="AF213" s="70">
        <f t="shared" si="251"/>
        <v>45043</v>
      </c>
      <c r="AG213" s="10">
        <f t="shared" si="228"/>
        <v>45043</v>
      </c>
      <c r="AH213" s="29">
        <f ca="1">IF(AG213=TODAY()-1,Loan!F183,IF(AG213&gt;$AB$13,$AB$55,AH212-AI213*AF212+AI213*AF213))</f>
        <v>2.3768551236749147E-2</v>
      </c>
      <c r="AI213" s="87">
        <f t="shared" ca="1" si="222"/>
        <v>5.8303886925790224E-5</v>
      </c>
      <c r="AJ213" s="76" t="str">
        <f t="shared" ca="1" si="244"/>
        <v/>
      </c>
      <c r="AK213" s="76" t="str">
        <f t="shared" ca="1" si="253"/>
        <v/>
      </c>
      <c r="AL213" s="76" t="str">
        <f t="shared" ca="1" si="223"/>
        <v/>
      </c>
      <c r="AM213" s="11">
        <f t="shared" ca="1" si="245"/>
        <v>237.68551236749147</v>
      </c>
      <c r="AN213" s="11">
        <f t="shared" ca="1" si="246"/>
        <v>632.47963064798103</v>
      </c>
      <c r="AO213" s="11">
        <f t="shared" ca="1" si="215"/>
        <v>120.89354317526988</v>
      </c>
      <c r="AP213" s="12">
        <f t="shared" ca="1" si="216"/>
        <v>0.23631124093404621</v>
      </c>
      <c r="AQ213" s="11">
        <f t="shared" ca="1" si="247"/>
        <v>555.65398892929875</v>
      </c>
      <c r="AR213" s="11">
        <f t="shared" ca="1" si="217"/>
        <v>125.93326286027474</v>
      </c>
      <c r="AS213" s="12">
        <f t="shared" ca="1" si="218"/>
        <v>0.29305838704192888</v>
      </c>
      <c r="AT213" s="11">
        <f t="shared" ca="1" si="248"/>
        <v>506.49846550042446</v>
      </c>
      <c r="AU213" s="11">
        <f t="shared" ca="1" si="219"/>
        <v>130.8493417883044</v>
      </c>
      <c r="AV213" s="12">
        <f t="shared" ca="1" si="220"/>
        <v>0.3483286224529602</v>
      </c>
      <c r="AW213" s="10">
        <f t="shared" si="249"/>
        <v>45043</v>
      </c>
      <c r="AX213" s="76">
        <f t="shared" ca="1" si="205"/>
        <v>98603.187225501868</v>
      </c>
      <c r="AY213" s="75">
        <f t="shared" ca="1" si="254"/>
        <v>17.996337686269761</v>
      </c>
      <c r="AZ213" s="75">
        <f t="shared" ca="1" si="250"/>
        <v>12.148061580429452</v>
      </c>
      <c r="BA213" s="75">
        <f t="shared" ca="1" si="206"/>
        <v>5.8482761058403092</v>
      </c>
      <c r="BB213" s="75">
        <f t="shared" ca="1" si="207"/>
        <v>98597.338949396028</v>
      </c>
      <c r="BC213" s="12"/>
      <c r="BD213" s="12"/>
    </row>
    <row r="214" spans="3:56">
      <c r="C214" s="3">
        <f t="shared" si="231"/>
        <v>18</v>
      </c>
      <c r="D214" s="3">
        <f t="shared" si="238"/>
        <v>2</v>
      </c>
      <c r="E214" s="1">
        <f t="shared" si="239"/>
        <v>2037</v>
      </c>
      <c r="F214" s="3">
        <f t="shared" si="232"/>
        <v>75</v>
      </c>
      <c r="G214" s="3">
        <f t="shared" si="240"/>
        <v>210</v>
      </c>
      <c r="H214" s="4">
        <f t="shared" si="255"/>
        <v>86576.92177003753</v>
      </c>
      <c r="L214" s="25" t="str">
        <f t="shared" ca="1" si="233"/>
        <v/>
      </c>
      <c r="M214" s="4">
        <f t="shared" si="234"/>
        <v>86576.92177003753</v>
      </c>
      <c r="N214" s="5">
        <f t="shared" si="210"/>
        <v>2.18E-2</v>
      </c>
      <c r="O214" s="6">
        <f t="shared" si="235"/>
        <v>5.0499999999999996E-2</v>
      </c>
      <c r="P214" s="4">
        <f t="shared" si="229"/>
        <v>364.34454578224125</v>
      </c>
      <c r="Q214" s="7">
        <f t="shared" si="236"/>
        <v>1147.1423660440512</v>
      </c>
      <c r="R214" s="4">
        <f t="shared" si="241"/>
        <v>782.79782026180987</v>
      </c>
      <c r="S214" s="4">
        <f t="shared" si="230"/>
        <v>85794.12394977572</v>
      </c>
      <c r="T214" s="4">
        <f t="shared" si="242"/>
        <v>0</v>
      </c>
      <c r="U214" s="4">
        <f t="shared" si="237"/>
        <v>85794.12394977572</v>
      </c>
      <c r="AE214" s="91" t="str">
        <f t="shared" ca="1" si="256"/>
        <v/>
      </c>
      <c r="AF214" s="70">
        <f t="shared" si="251"/>
        <v>45044</v>
      </c>
      <c r="AG214" s="10">
        <f t="shared" si="228"/>
        <v>45044</v>
      </c>
      <c r="AH214" s="29">
        <f ca="1">IF(AG214=TODAY()-1,Loan!F184,IF(AG214&gt;$AB$13,$AB$55,AH213-AI214*AF213+AI214*AF214))</f>
        <v>2.3826855123674662E-2</v>
      </c>
      <c r="AI214" s="87">
        <f t="shared" ca="1" si="222"/>
        <v>5.8303886925794527E-5</v>
      </c>
      <c r="AJ214" s="76" t="str">
        <f t="shared" ca="1" si="244"/>
        <v/>
      </c>
      <c r="AK214" s="76" t="str">
        <f t="shared" ca="1" si="253"/>
        <v/>
      </c>
      <c r="AL214" s="76" t="str">
        <f t="shared" ca="1" si="223"/>
        <v/>
      </c>
      <c r="AM214" s="11">
        <f t="shared" ca="1" si="245"/>
        <v>238.26855123674662</v>
      </c>
      <c r="AN214" s="11">
        <f t="shared" ca="1" si="246"/>
        <v>632.79434745525248</v>
      </c>
      <c r="AO214" s="11">
        <f t="shared" ca="1" si="215"/>
        <v>121.20825998254134</v>
      </c>
      <c r="AP214" s="12">
        <f t="shared" ca="1" si="216"/>
        <v>0.23692641952270993</v>
      </c>
      <c r="AQ214" s="11">
        <f t="shared" ca="1" si="247"/>
        <v>555.98491942713224</v>
      </c>
      <c r="AR214" s="11">
        <f t="shared" ca="1" si="217"/>
        <v>126.26419335810823</v>
      </c>
      <c r="AS214" s="12">
        <f t="shared" ca="1" si="218"/>
        <v>0.29382849301484937</v>
      </c>
      <c r="AT214" s="11">
        <f t="shared" ca="1" si="248"/>
        <v>506.84488941772918</v>
      </c>
      <c r="AU214" s="11">
        <f t="shared" ca="1" si="219"/>
        <v>131.19576570560912</v>
      </c>
      <c r="AV214" s="12">
        <f t="shared" ca="1" si="220"/>
        <v>0.34925082323937862</v>
      </c>
      <c r="AW214" s="10">
        <f t="shared" si="249"/>
        <v>45044</v>
      </c>
      <c r="AX214" s="76">
        <f t="shared" ca="1" si="205"/>
        <v>98597.338949396028</v>
      </c>
      <c r="AY214" s="75">
        <f t="shared" ca="1" si="254"/>
        <v>18.005979178333053</v>
      </c>
      <c r="AZ214" s="75">
        <f t="shared" ca="1" si="250"/>
        <v>12.16309067521726</v>
      </c>
      <c r="BA214" s="75">
        <f t="shared" ca="1" si="206"/>
        <v>5.8428885031157929</v>
      </c>
      <c r="BB214" s="75">
        <f t="shared" ca="1" si="207"/>
        <v>98591.49606089291</v>
      </c>
      <c r="BC214" s="12"/>
      <c r="BD214" s="12"/>
    </row>
    <row r="215" spans="3:56">
      <c r="C215" s="3">
        <f t="shared" si="231"/>
        <v>18</v>
      </c>
      <c r="D215" s="3">
        <f t="shared" si="238"/>
        <v>3</v>
      </c>
      <c r="E215" s="1">
        <f t="shared" si="239"/>
        <v>2037</v>
      </c>
      <c r="F215" s="3">
        <f t="shared" si="232"/>
        <v>75</v>
      </c>
      <c r="G215" s="3">
        <f t="shared" si="240"/>
        <v>211</v>
      </c>
      <c r="H215" s="4">
        <f t="shared" si="255"/>
        <v>85794.12394977572</v>
      </c>
      <c r="L215" s="25" t="str">
        <f t="shared" ca="1" si="233"/>
        <v/>
      </c>
      <c r="M215" s="4">
        <f t="shared" si="234"/>
        <v>85794.12394977572</v>
      </c>
      <c r="N215" s="5">
        <f t="shared" si="210"/>
        <v>2.18E-2</v>
      </c>
      <c r="O215" s="6">
        <f t="shared" si="235"/>
        <v>5.0499999999999996E-2</v>
      </c>
      <c r="P215" s="4">
        <f t="shared" si="229"/>
        <v>361.0502716219728</v>
      </c>
      <c r="Q215" s="7">
        <f t="shared" si="236"/>
        <v>1147.1423660440507</v>
      </c>
      <c r="R215" s="4">
        <f t="shared" si="241"/>
        <v>786.09209442207793</v>
      </c>
      <c r="S215" s="4">
        <f t="shared" si="230"/>
        <v>85008.031855353649</v>
      </c>
      <c r="T215" s="4">
        <f t="shared" si="242"/>
        <v>0</v>
      </c>
      <c r="U215" s="4">
        <f t="shared" si="237"/>
        <v>85008.031855353649</v>
      </c>
      <c r="AE215" s="91" t="str">
        <f t="shared" ca="1" si="256"/>
        <v/>
      </c>
      <c r="AF215" s="70">
        <f t="shared" si="251"/>
        <v>45047</v>
      </c>
      <c r="AG215" s="10">
        <f t="shared" ref="AG215" si="261">AG214+3</f>
        <v>45047</v>
      </c>
      <c r="AH215" s="29">
        <f ca="1">IF(AG215=TODAY()-1,Loan!F185,IF(AG215&gt;$AB$13,$AB$55,AH214-AI215*AF214+AI215*AF215))</f>
        <v>2.4001766784452094E-2</v>
      </c>
      <c r="AI215" s="87">
        <f t="shared" ca="1" si="222"/>
        <v>5.8303886925798966E-5</v>
      </c>
      <c r="AJ215" s="76" t="str">
        <f t="shared" ca="1" si="244"/>
        <v/>
      </c>
      <c r="AK215" s="76" t="str">
        <f t="shared" ca="1" si="253"/>
        <v/>
      </c>
      <c r="AL215" s="76" t="str">
        <f t="shared" ca="1" si="223"/>
        <v/>
      </c>
      <c r="AM215" s="11">
        <f t="shared" ca="1" si="245"/>
        <v>240.01766784452093</v>
      </c>
      <c r="AN215" s="11">
        <f t="shared" ca="1" si="246"/>
        <v>633.73901776907564</v>
      </c>
      <c r="AO215" s="11">
        <f t="shared" ca="1" si="215"/>
        <v>122.1529302963645</v>
      </c>
      <c r="AP215" s="12">
        <f t="shared" ca="1" si="216"/>
        <v>0.23877297152432891</v>
      </c>
      <c r="AQ215" s="11">
        <f t="shared" ca="1" si="247"/>
        <v>556.97833241219837</v>
      </c>
      <c r="AR215" s="11">
        <f t="shared" ca="1" si="217"/>
        <v>127.25760634317436</v>
      </c>
      <c r="AS215" s="12">
        <f t="shared" ca="1" si="218"/>
        <v>0.29614025720214754</v>
      </c>
      <c r="AT215" s="11">
        <f t="shared" ca="1" si="248"/>
        <v>507.88486770964488</v>
      </c>
      <c r="AU215" s="11">
        <f t="shared" ca="1" si="219"/>
        <v>132.23574399752482</v>
      </c>
      <c r="AV215" s="12">
        <f t="shared" ca="1" si="220"/>
        <v>0.35201930644955826</v>
      </c>
      <c r="AW215" s="10">
        <f t="shared" si="249"/>
        <v>45047</v>
      </c>
      <c r="AX215" s="76">
        <f t="shared" ca="1" si="205"/>
        <v>98591.49606089291</v>
      </c>
      <c r="AY215" s="75">
        <f t="shared" ca="1" si="254"/>
        <v>18.039189727777647</v>
      </c>
      <c r="AZ215" s="75">
        <f t="shared" ca="1" si="250"/>
        <v>12.209615922944408</v>
      </c>
      <c r="BA215" s="75">
        <f t="shared" ca="1" si="206"/>
        <v>5.8295738048332382</v>
      </c>
      <c r="BB215" s="75">
        <f t="shared" ca="1" si="207"/>
        <v>98585.666487088078</v>
      </c>
      <c r="BC215" s="12"/>
      <c r="BD215" s="12"/>
    </row>
    <row r="216" spans="3:56">
      <c r="C216" s="3">
        <f t="shared" si="231"/>
        <v>18</v>
      </c>
      <c r="D216" s="3">
        <f t="shared" si="238"/>
        <v>4</v>
      </c>
      <c r="E216" s="1">
        <f t="shared" si="239"/>
        <v>2037</v>
      </c>
      <c r="F216" s="3">
        <f t="shared" si="232"/>
        <v>75</v>
      </c>
      <c r="G216" s="3">
        <f t="shared" si="240"/>
        <v>212</v>
      </c>
      <c r="H216" s="4">
        <f t="shared" si="255"/>
        <v>85008.031855353649</v>
      </c>
      <c r="L216" s="25" t="str">
        <f t="shared" ca="1" si="233"/>
        <v/>
      </c>
      <c r="M216" s="4">
        <f t="shared" si="234"/>
        <v>85008.031855353649</v>
      </c>
      <c r="N216" s="5">
        <f t="shared" si="210"/>
        <v>2.18E-2</v>
      </c>
      <c r="O216" s="6">
        <f t="shared" si="235"/>
        <v>5.0499999999999996E-2</v>
      </c>
      <c r="P216" s="4">
        <f t="shared" si="229"/>
        <v>357.74213405794654</v>
      </c>
      <c r="Q216" s="7">
        <f t="shared" si="236"/>
        <v>1147.1423660440514</v>
      </c>
      <c r="R216" s="4">
        <f t="shared" si="241"/>
        <v>789.40023198610493</v>
      </c>
      <c r="S216" s="4">
        <f t="shared" si="230"/>
        <v>84218.631623367546</v>
      </c>
      <c r="T216" s="4">
        <f t="shared" si="242"/>
        <v>0</v>
      </c>
      <c r="U216" s="4">
        <f t="shared" si="237"/>
        <v>84218.631623367546</v>
      </c>
      <c r="AE216" s="91" t="str">
        <f t="shared" ca="1" si="256"/>
        <v/>
      </c>
      <c r="AF216" s="70">
        <f t="shared" si="251"/>
        <v>45048</v>
      </c>
      <c r="AG216" s="10">
        <f t="shared" ref="AG216" si="262">AG215+1</f>
        <v>45048</v>
      </c>
      <c r="AH216" s="29">
        <f ca="1">IF(AG216=TODAY()-1,Loan!F186,IF(AG216&gt;$AB$13,$AB$55,AH215-AI216*AF215+AI216*AF216))</f>
        <v>2.4060070671378053E-2</v>
      </c>
      <c r="AI216" s="87">
        <f t="shared" ca="1" si="222"/>
        <v>5.8303886925798369E-5</v>
      </c>
      <c r="AJ216" s="76" t="str">
        <f t="shared" ca="1" si="244"/>
        <v/>
      </c>
      <c r="AK216" s="76" t="str">
        <f t="shared" ca="1" si="253"/>
        <v/>
      </c>
      <c r="AL216" s="76" t="str">
        <f t="shared" ca="1" si="223"/>
        <v/>
      </c>
      <c r="AM216" s="11">
        <f t="shared" ca="1" si="245"/>
        <v>240.60070671378054</v>
      </c>
      <c r="AN216" s="11">
        <f t="shared" ca="1" si="246"/>
        <v>634.05408110939118</v>
      </c>
      <c r="AO216" s="11">
        <f t="shared" ca="1" si="215"/>
        <v>122.46799363668003</v>
      </c>
      <c r="AP216" s="12">
        <f t="shared" ca="1" si="216"/>
        <v>0.23938882748294574</v>
      </c>
      <c r="AQ216" s="11">
        <f t="shared" ca="1" si="247"/>
        <v>557.30967712500524</v>
      </c>
      <c r="AR216" s="11">
        <f t="shared" ca="1" si="217"/>
        <v>127.58895105598123</v>
      </c>
      <c r="AS216" s="12">
        <f t="shared" ca="1" si="218"/>
        <v>0.29691132709174289</v>
      </c>
      <c r="AT216" s="11">
        <f t="shared" ca="1" si="248"/>
        <v>508.23176247216679</v>
      </c>
      <c r="AU216" s="11">
        <f t="shared" ca="1" si="219"/>
        <v>132.58263876004673</v>
      </c>
      <c r="AV216" s="12">
        <f t="shared" ca="1" si="220"/>
        <v>0.35294276065356106</v>
      </c>
      <c r="AW216" s="10">
        <f t="shared" si="249"/>
        <v>45048</v>
      </c>
      <c r="AX216" s="76">
        <f t="shared" ca="1" si="205"/>
        <v>98585.666487088078</v>
      </c>
      <c r="AY216" s="75">
        <f t="shared" ca="1" si="254"/>
        <v>18.046711708799425</v>
      </c>
      <c r="AZ216" s="75">
        <f t="shared" ca="1" si="250"/>
        <v>12.22464173257675</v>
      </c>
      <c r="BA216" s="75">
        <f t="shared" ca="1" si="206"/>
        <v>5.8220699762226751</v>
      </c>
      <c r="BB216" s="75">
        <f t="shared" ca="1" si="207"/>
        <v>98579.844417111861</v>
      </c>
      <c r="BC216" s="12"/>
      <c r="BD216" s="12"/>
    </row>
    <row r="217" spans="3:56">
      <c r="C217" s="3">
        <f t="shared" si="231"/>
        <v>18</v>
      </c>
      <c r="D217" s="3">
        <f t="shared" si="238"/>
        <v>5</v>
      </c>
      <c r="E217" s="1">
        <f t="shared" si="239"/>
        <v>2037</v>
      </c>
      <c r="F217" s="3">
        <f t="shared" si="232"/>
        <v>75</v>
      </c>
      <c r="G217" s="3">
        <f t="shared" si="240"/>
        <v>213</v>
      </c>
      <c r="H217" s="4">
        <f t="shared" si="255"/>
        <v>84218.631623367546</v>
      </c>
      <c r="L217" s="25" t="str">
        <f t="shared" ca="1" si="233"/>
        <v/>
      </c>
      <c r="M217" s="4">
        <f t="shared" si="234"/>
        <v>84218.631623367546</v>
      </c>
      <c r="N217" s="5">
        <f t="shared" si="210"/>
        <v>2.18E-2</v>
      </c>
      <c r="O217" s="6">
        <f t="shared" si="235"/>
        <v>5.0499999999999996E-2</v>
      </c>
      <c r="P217" s="4">
        <f t="shared" si="229"/>
        <v>354.42007474833844</v>
      </c>
      <c r="Q217" s="7">
        <f t="shared" si="236"/>
        <v>1147.1423660440514</v>
      </c>
      <c r="R217" s="4">
        <f t="shared" si="241"/>
        <v>792.72229129571292</v>
      </c>
      <c r="S217" s="4">
        <f t="shared" si="230"/>
        <v>83425.909332071838</v>
      </c>
      <c r="T217" s="4">
        <f t="shared" si="242"/>
        <v>0</v>
      </c>
      <c r="U217" s="4">
        <f t="shared" si="237"/>
        <v>83425.909332071838</v>
      </c>
      <c r="AE217" s="91" t="str">
        <f t="shared" ca="1" si="256"/>
        <v/>
      </c>
      <c r="AF217" s="70">
        <f t="shared" si="251"/>
        <v>45049</v>
      </c>
      <c r="AG217" s="10">
        <f t="shared" si="228"/>
        <v>45049</v>
      </c>
      <c r="AH217" s="29">
        <f ca="1">IF(AG217=TODAY()-1,Loan!F187,IF(AG217&gt;$AB$13,$AB$55,AH216-AI217*AF216+AI217*AF217))</f>
        <v>2.4118374558304012E-2</v>
      </c>
      <c r="AI217" s="87">
        <f t="shared" ca="1" si="222"/>
        <v>5.8303886925795652E-5</v>
      </c>
      <c r="AJ217" s="76" t="str">
        <f t="shared" ca="1" si="244"/>
        <v/>
      </c>
      <c r="AK217" s="76" t="str">
        <f t="shared" ca="1" si="253"/>
        <v/>
      </c>
      <c r="AL217" s="76" t="str">
        <f t="shared" ca="1" si="223"/>
        <v/>
      </c>
      <c r="AM217" s="11">
        <f t="shared" ca="1" si="245"/>
        <v>241.18374558304012</v>
      </c>
      <c r="AN217" s="11">
        <f t="shared" ca="1" si="246"/>
        <v>634.36923103673882</v>
      </c>
      <c r="AO217" s="11">
        <f t="shared" ca="1" si="215"/>
        <v>122.78314356402768</v>
      </c>
      <c r="AP217" s="12">
        <f t="shared" ca="1" si="216"/>
        <v>0.24000485269368693</v>
      </c>
      <c r="AQ217" s="11">
        <f t="shared" ca="1" si="247"/>
        <v>557.6411253069582</v>
      </c>
      <c r="AR217" s="11">
        <f t="shared" ca="1" si="217"/>
        <v>127.92039923793419</v>
      </c>
      <c r="AS217" s="12">
        <f t="shared" ca="1" si="218"/>
        <v>0.29768263776364129</v>
      </c>
      <c r="AT217" s="11">
        <f t="shared" ca="1" si="248"/>
        <v>508.57877480983109</v>
      </c>
      <c r="AU217" s="11">
        <f t="shared" ca="1" si="219"/>
        <v>132.92965109771103</v>
      </c>
      <c r="AV217" s="12">
        <f t="shared" ca="1" si="220"/>
        <v>0.35386652784948891</v>
      </c>
      <c r="AW217" s="10">
        <f t="shared" si="249"/>
        <v>45049</v>
      </c>
      <c r="AX217" s="76">
        <f t="shared" ca="1" si="205"/>
        <v>98579.844417111861</v>
      </c>
      <c r="AY217" s="75">
        <f t="shared" ca="1" si="254"/>
        <v>18.0563697808299</v>
      </c>
      <c r="AZ217" s="75">
        <f t="shared" ca="1" si="250"/>
        <v>12.239666611490438</v>
      </c>
      <c r="BA217" s="75">
        <f t="shared" ca="1" si="206"/>
        <v>5.816703169339462</v>
      </c>
      <c r="BB217" s="75">
        <f t="shared" ca="1" si="207"/>
        <v>98574.027713942516</v>
      </c>
      <c r="BC217" s="12"/>
      <c r="BD217" s="12"/>
    </row>
    <row r="218" spans="3:56">
      <c r="C218" s="3">
        <f t="shared" si="231"/>
        <v>18</v>
      </c>
      <c r="D218" s="3">
        <f t="shared" si="238"/>
        <v>6</v>
      </c>
      <c r="E218" s="1">
        <f t="shared" si="239"/>
        <v>2037</v>
      </c>
      <c r="F218" s="3">
        <f t="shared" si="232"/>
        <v>75</v>
      </c>
      <c r="G218" s="3">
        <f t="shared" si="240"/>
        <v>214</v>
      </c>
      <c r="H218" s="4">
        <f t="shared" si="255"/>
        <v>83425.909332071838</v>
      </c>
      <c r="L218" s="25" t="str">
        <f t="shared" ca="1" si="233"/>
        <v/>
      </c>
      <c r="M218" s="4">
        <f t="shared" si="234"/>
        <v>83425.909332071838</v>
      </c>
      <c r="N218" s="5">
        <f t="shared" si="210"/>
        <v>2.18E-2</v>
      </c>
      <c r="O218" s="6">
        <f t="shared" si="235"/>
        <v>5.0499999999999996E-2</v>
      </c>
      <c r="P218" s="4">
        <f t="shared" si="229"/>
        <v>351.08403510580229</v>
      </c>
      <c r="Q218" s="7">
        <f t="shared" si="236"/>
        <v>1147.1423660440519</v>
      </c>
      <c r="R218" s="4">
        <f t="shared" si="241"/>
        <v>796.05833093824958</v>
      </c>
      <c r="S218" s="4">
        <f t="shared" si="230"/>
        <v>82629.851001133589</v>
      </c>
      <c r="T218" s="4">
        <f t="shared" si="242"/>
        <v>0</v>
      </c>
      <c r="U218" s="4">
        <f t="shared" si="237"/>
        <v>82629.851001133589</v>
      </c>
      <c r="AE218" s="91" t="str">
        <f t="shared" ca="1" si="256"/>
        <v/>
      </c>
      <c r="AF218" s="70">
        <f t="shared" si="251"/>
        <v>45050</v>
      </c>
      <c r="AG218" s="10">
        <f t="shared" si="228"/>
        <v>45050</v>
      </c>
      <c r="AH218" s="29">
        <f ca="1">IF(AG218=TODAY()-1,Loan!F188,IF(AG218&gt;$AB$13,$AB$55,AH217-AI218*AF217+AI218*AF218))</f>
        <v>2.4176678445229971E-2</v>
      </c>
      <c r="AI218" s="87">
        <f t="shared" ca="1" si="222"/>
        <v>5.830388692579284E-5</v>
      </c>
      <c r="AJ218" s="76" t="str">
        <f t="shared" ca="1" si="244"/>
        <v/>
      </c>
      <c r="AK218" s="76" t="str">
        <f t="shared" ca="1" si="253"/>
        <v/>
      </c>
      <c r="AL218" s="76" t="str">
        <f t="shared" ca="1" si="223"/>
        <v/>
      </c>
      <c r="AM218" s="11">
        <f t="shared" ca="1" si="245"/>
        <v>241.7667844522997</v>
      </c>
      <c r="AN218" s="11">
        <f t="shared" ca="1" si="246"/>
        <v>634.68446753257126</v>
      </c>
      <c r="AO218" s="11">
        <f t="shared" ca="1" si="215"/>
        <v>123.09838005986012</v>
      </c>
      <c r="AP218" s="12">
        <f t="shared" ca="1" si="216"/>
        <v>0.240621047120298</v>
      </c>
      <c r="AQ218" s="11">
        <f t="shared" ca="1" si="247"/>
        <v>557.97267692414516</v>
      </c>
      <c r="AR218" s="11">
        <f t="shared" ca="1" si="217"/>
        <v>128.25195085512115</v>
      </c>
      <c r="AS218" s="12">
        <f t="shared" ca="1" si="218"/>
        <v>0.29845418913892613</v>
      </c>
      <c r="AT218" s="11">
        <f t="shared" ca="1" si="248"/>
        <v>508.92590466808326</v>
      </c>
      <c r="AU218" s="11">
        <f t="shared" ca="1" si="219"/>
        <v>133.2767809559632</v>
      </c>
      <c r="AV218" s="12">
        <f t="shared" ca="1" si="220"/>
        <v>0.35479060789211453</v>
      </c>
      <c r="AW218" s="10">
        <f t="shared" si="249"/>
        <v>45050</v>
      </c>
      <c r="AX218" s="76">
        <f t="shared" ca="1" si="205"/>
        <v>98574.027713942516</v>
      </c>
      <c r="AY218" s="75">
        <f t="shared" ca="1" si="254"/>
        <v>18.066030938506817</v>
      </c>
      <c r="AZ218" s="75">
        <f t="shared" ca="1" si="250"/>
        <v>12.254690297607555</v>
      </c>
      <c r="BA218" s="75">
        <f t="shared" ca="1" si="206"/>
        <v>5.8113406408992621</v>
      </c>
      <c r="BB218" s="75">
        <f t="shared" ca="1" si="207"/>
        <v>98568.21637330162</v>
      </c>
      <c r="BC218" s="12"/>
      <c r="BD218" s="12"/>
    </row>
    <row r="219" spans="3:56">
      <c r="C219" s="3">
        <f t="shared" si="231"/>
        <v>18</v>
      </c>
      <c r="D219" s="3">
        <f t="shared" si="238"/>
        <v>7</v>
      </c>
      <c r="E219" s="1">
        <f t="shared" si="239"/>
        <v>2037</v>
      </c>
      <c r="F219" s="3">
        <f t="shared" si="232"/>
        <v>75</v>
      </c>
      <c r="G219" s="3">
        <f t="shared" si="240"/>
        <v>215</v>
      </c>
      <c r="H219" s="4">
        <f t="shared" si="255"/>
        <v>82629.851001133589</v>
      </c>
      <c r="L219" s="25" t="str">
        <f t="shared" ca="1" si="233"/>
        <v/>
      </c>
      <c r="M219" s="4">
        <f t="shared" si="234"/>
        <v>82629.851001133589</v>
      </c>
      <c r="N219" s="5">
        <f t="shared" si="210"/>
        <v>2.18E-2</v>
      </c>
      <c r="O219" s="6">
        <f t="shared" si="235"/>
        <v>5.0499999999999996E-2</v>
      </c>
      <c r="P219" s="4">
        <f t="shared" si="229"/>
        <v>347.73395629643716</v>
      </c>
      <c r="Q219" s="7">
        <f t="shared" si="236"/>
        <v>1147.1423660440519</v>
      </c>
      <c r="R219" s="4">
        <f t="shared" si="241"/>
        <v>799.40840974761477</v>
      </c>
      <c r="S219" s="4">
        <f t="shared" si="230"/>
        <v>81830.442591385974</v>
      </c>
      <c r="T219" s="4">
        <f t="shared" si="242"/>
        <v>0</v>
      </c>
      <c r="U219" s="4">
        <f t="shared" si="237"/>
        <v>81830.442591385974</v>
      </c>
      <c r="AE219" s="91" t="str">
        <f t="shared" ca="1" si="256"/>
        <v/>
      </c>
      <c r="AF219" s="70">
        <f t="shared" si="251"/>
        <v>45051</v>
      </c>
      <c r="AG219" s="10">
        <f t="shared" si="228"/>
        <v>45051</v>
      </c>
      <c r="AH219" s="29">
        <f ca="1">IF(AG219=TODAY()-1,Loan!F189,IF(AG219&gt;$AB$13,$AB$55,AH218-AI219*AF218+AI219*AF219))</f>
        <v>2.423498233215593E-2</v>
      </c>
      <c r="AI219" s="87">
        <f t="shared" ca="1" si="222"/>
        <v>5.8303886925789926E-5</v>
      </c>
      <c r="AJ219" s="76" t="str">
        <f t="shared" ca="1" si="244"/>
        <v/>
      </c>
      <c r="AK219" s="76" t="str">
        <f t="shared" ca="1" si="253"/>
        <v/>
      </c>
      <c r="AL219" s="76" t="str">
        <f t="shared" ca="1" si="223"/>
        <v/>
      </c>
      <c r="AM219" s="11">
        <f t="shared" ca="1" si="245"/>
        <v>242.34982332155931</v>
      </c>
      <c r="AN219" s="11">
        <f t="shared" ca="1" si="246"/>
        <v>634.99979057830944</v>
      </c>
      <c r="AO219" s="11">
        <f t="shared" ca="1" si="215"/>
        <v>123.4137031055983</v>
      </c>
      <c r="AP219" s="12">
        <f t="shared" ca="1" si="216"/>
        <v>0.24123741072646232</v>
      </c>
      <c r="AQ219" s="11">
        <f t="shared" ca="1" si="247"/>
        <v>558.30433194261366</v>
      </c>
      <c r="AR219" s="11">
        <f t="shared" ca="1" si="217"/>
        <v>128.58360587358965</v>
      </c>
      <c r="AS219" s="12">
        <f t="shared" ca="1" si="218"/>
        <v>0.29922598113858689</v>
      </c>
      <c r="AT219" s="11">
        <f t="shared" ca="1" si="248"/>
        <v>509.27315199232203</v>
      </c>
      <c r="AU219" s="11">
        <f t="shared" ca="1" si="219"/>
        <v>133.62402828020197</v>
      </c>
      <c r="AV219" s="12">
        <f t="shared" ca="1" si="220"/>
        <v>0.35571500063608608</v>
      </c>
      <c r="AW219" s="10">
        <f t="shared" si="249"/>
        <v>45051</v>
      </c>
      <c r="AX219" s="76">
        <f t="shared" ca="1" si="205"/>
        <v>98568.21637330162</v>
      </c>
      <c r="AY219" s="75">
        <f t="shared" ca="1" si="254"/>
        <v>18.075695181082082</v>
      </c>
      <c r="AZ219" s="75">
        <f t="shared" ca="1" si="250"/>
        <v>12.269712792967347</v>
      </c>
      <c r="BA219" s="75">
        <f t="shared" ca="1" si="206"/>
        <v>5.8059823881147352</v>
      </c>
      <c r="BB219" s="75">
        <f t="shared" ca="1" si="207"/>
        <v>98562.410390913501</v>
      </c>
      <c r="BC219" s="12"/>
      <c r="BD219" s="12"/>
    </row>
    <row r="220" spans="3:56">
      <c r="C220" s="3">
        <f t="shared" si="231"/>
        <v>18</v>
      </c>
      <c r="D220" s="3">
        <f t="shared" si="238"/>
        <v>8</v>
      </c>
      <c r="E220" s="1">
        <f t="shared" si="239"/>
        <v>2037</v>
      </c>
      <c r="F220" s="3">
        <f t="shared" si="232"/>
        <v>75</v>
      </c>
      <c r="G220" s="3">
        <f t="shared" si="240"/>
        <v>216</v>
      </c>
      <c r="H220" s="4">
        <f t="shared" si="255"/>
        <v>81830.442591385974</v>
      </c>
      <c r="L220" s="25" t="str">
        <f t="shared" ca="1" si="233"/>
        <v/>
      </c>
      <c r="M220" s="4">
        <f t="shared" si="234"/>
        <v>81830.442591385974</v>
      </c>
      <c r="N220" s="5">
        <f t="shared" si="210"/>
        <v>2.18E-2</v>
      </c>
      <c r="O220" s="6">
        <f t="shared" si="235"/>
        <v>5.0499999999999996E-2</v>
      </c>
      <c r="P220" s="4">
        <f t="shared" si="229"/>
        <v>344.36977923874929</v>
      </c>
      <c r="Q220" s="7">
        <f t="shared" si="236"/>
        <v>1147.1423660440519</v>
      </c>
      <c r="R220" s="4">
        <f t="shared" si="241"/>
        <v>802.77258680530258</v>
      </c>
      <c r="S220" s="4">
        <f t="shared" si="230"/>
        <v>81027.670004580665</v>
      </c>
      <c r="T220" s="4">
        <f t="shared" si="242"/>
        <v>0</v>
      </c>
      <c r="U220" s="4">
        <f t="shared" si="237"/>
        <v>81027.670004580665</v>
      </c>
      <c r="AE220" s="91" t="str">
        <f t="shared" ca="1" si="256"/>
        <v/>
      </c>
      <c r="AF220" s="70">
        <f t="shared" si="251"/>
        <v>45054</v>
      </c>
      <c r="AG220" s="10">
        <f t="shared" ref="AG220" si="263">AG219+3</f>
        <v>45054</v>
      </c>
      <c r="AH220" s="29">
        <f ca="1">IF(AG220=TODAY()-1,Loan!F190,IF(AG220&gt;$AB$13,$AB$55,AH219-AI220*AF219+AI220*AF220))</f>
        <v>2.4409893992933362E-2</v>
      </c>
      <c r="AI220" s="87">
        <f t="shared" ca="1" si="222"/>
        <v>5.8303886925786904E-5</v>
      </c>
      <c r="AJ220" s="76" t="str">
        <f t="shared" ca="1" si="244"/>
        <v/>
      </c>
      <c r="AK220" s="76" t="str">
        <f t="shared" ca="1" si="253"/>
        <v/>
      </c>
      <c r="AL220" s="76" t="str">
        <f t="shared" ca="1" si="223"/>
        <v/>
      </c>
      <c r="AM220" s="11">
        <f t="shared" ca="1" si="245"/>
        <v>244.09893992933362</v>
      </c>
      <c r="AN220" s="11">
        <f t="shared" ca="1" si="246"/>
        <v>635.9462788292243</v>
      </c>
      <c r="AO220" s="11">
        <f t="shared" ca="1" si="215"/>
        <v>124.36019135651316</v>
      </c>
      <c r="AP220" s="12">
        <f t="shared" ca="1" si="216"/>
        <v>0.24308751625921948</v>
      </c>
      <c r="AQ220" s="11">
        <f t="shared" ca="1" si="247"/>
        <v>559.29991706600458</v>
      </c>
      <c r="AR220" s="11">
        <f t="shared" ca="1" si="217"/>
        <v>129.57919099698057</v>
      </c>
      <c r="AS220" s="12">
        <f t="shared" ca="1" si="218"/>
        <v>0.30154280009330264</v>
      </c>
      <c r="AT220" s="11">
        <f t="shared" ca="1" si="248"/>
        <v>510.31559821456415</v>
      </c>
      <c r="AU220" s="11">
        <f t="shared" ca="1" si="219"/>
        <v>134.66647450244409</v>
      </c>
      <c r="AV220" s="12">
        <f t="shared" ca="1" si="220"/>
        <v>0.3584900536215444</v>
      </c>
      <c r="AW220" s="10">
        <f t="shared" si="249"/>
        <v>45054</v>
      </c>
      <c r="AX220" s="76">
        <f t="shared" ca="1" si="205"/>
        <v>98562.410390913501</v>
      </c>
      <c r="AY220" s="75">
        <f t="shared" ca="1" si="254"/>
        <v>18.108964650767348</v>
      </c>
      <c r="AZ220" s="75">
        <f t="shared" ca="1" si="250"/>
        <v>12.316222163335778</v>
      </c>
      <c r="BA220" s="75">
        <f t="shared" ca="1" si="206"/>
        <v>5.7927424874315694</v>
      </c>
      <c r="BB220" s="75">
        <f t="shared" ca="1" si="207"/>
        <v>98556.617648426065</v>
      </c>
      <c r="BC220" s="12"/>
      <c r="BD220" s="12"/>
    </row>
    <row r="221" spans="3:56">
      <c r="C221" s="3">
        <f t="shared" si="231"/>
        <v>19</v>
      </c>
      <c r="D221" s="3">
        <f t="shared" si="238"/>
        <v>9</v>
      </c>
      <c r="E221" s="1">
        <f t="shared" si="239"/>
        <v>2037</v>
      </c>
      <c r="F221" s="3">
        <f t="shared" si="232"/>
        <v>75</v>
      </c>
      <c r="G221" s="3">
        <f t="shared" si="240"/>
        <v>217</v>
      </c>
      <c r="H221" s="4">
        <f t="shared" si="255"/>
        <v>81027.670004580665</v>
      </c>
      <c r="L221" s="25" t="str">
        <f t="shared" ca="1" si="233"/>
        <v/>
      </c>
      <c r="M221" s="4">
        <f t="shared" si="234"/>
        <v>81027.670004580665</v>
      </c>
      <c r="N221" s="5">
        <f t="shared" si="210"/>
        <v>2.18E-2</v>
      </c>
      <c r="O221" s="6">
        <f t="shared" si="235"/>
        <v>5.0499999999999996E-2</v>
      </c>
      <c r="P221" s="4">
        <f t="shared" si="229"/>
        <v>340.99144460261027</v>
      </c>
      <c r="Q221" s="7">
        <f t="shared" si="236"/>
        <v>1147.1423660440526</v>
      </c>
      <c r="R221" s="4">
        <f t="shared" si="241"/>
        <v>806.15092144144228</v>
      </c>
      <c r="S221" s="4">
        <f t="shared" si="230"/>
        <v>80221.519083139225</v>
      </c>
      <c r="T221" s="4">
        <f t="shared" si="242"/>
        <v>0</v>
      </c>
      <c r="U221" s="4">
        <f t="shared" si="237"/>
        <v>80221.519083139225</v>
      </c>
      <c r="AE221" s="91" t="str">
        <f t="shared" ca="1" si="256"/>
        <v/>
      </c>
      <c r="AF221" s="70">
        <f t="shared" si="251"/>
        <v>45055</v>
      </c>
      <c r="AG221" s="10">
        <f t="shared" ref="AG221" si="264">AG220+1</f>
        <v>45055</v>
      </c>
      <c r="AH221" s="29">
        <f ca="1">IF(AG221=TODAY()-1,Loan!F191,IF(AG221&gt;$AB$13,$AB$55,AH220-AI221*AF220+AI221*AF221))</f>
        <v>2.4468197879858877E-2</v>
      </c>
      <c r="AI221" s="87">
        <f t="shared" ca="1" si="222"/>
        <v>5.8303886925785549E-5</v>
      </c>
      <c r="AJ221" s="76" t="str">
        <f t="shared" ca="1" si="244"/>
        <v/>
      </c>
      <c r="AK221" s="76" t="str">
        <f t="shared" ca="1" si="253"/>
        <v/>
      </c>
      <c r="AL221" s="76" t="str">
        <f t="shared" ca="1" si="223"/>
        <v/>
      </c>
      <c r="AM221" s="11">
        <f t="shared" ca="1" si="245"/>
        <v>244.68197879858877</v>
      </c>
      <c r="AN221" s="11">
        <f t="shared" ca="1" si="246"/>
        <v>636.26194788875875</v>
      </c>
      <c r="AO221" s="11">
        <f t="shared" ca="1" si="215"/>
        <v>124.67586041604761</v>
      </c>
      <c r="AP221" s="12">
        <f t="shared" ca="1" si="216"/>
        <v>0.24370455622036052</v>
      </c>
      <c r="AQ221" s="11">
        <f t="shared" ca="1" si="247"/>
        <v>559.63198534974754</v>
      </c>
      <c r="AR221" s="11">
        <f t="shared" ca="1" si="217"/>
        <v>129.91125928072353</v>
      </c>
      <c r="AS221" s="12">
        <f t="shared" ca="1" si="218"/>
        <v>0.30231555379960073</v>
      </c>
      <c r="AT221" s="11">
        <f t="shared" ca="1" si="248"/>
        <v>510.66331485616195</v>
      </c>
      <c r="AU221" s="11">
        <f t="shared" ca="1" si="219"/>
        <v>135.01419114404189</v>
      </c>
      <c r="AV221" s="12">
        <f t="shared" ca="1" si="220"/>
        <v>0.35941569571585225</v>
      </c>
      <c r="AW221" s="10">
        <f t="shared" si="249"/>
        <v>45055</v>
      </c>
      <c r="AX221" s="76">
        <f t="shared" ca="1" si="205"/>
        <v>98556.617648426065</v>
      </c>
      <c r="AY221" s="75">
        <f t="shared" ca="1" si="254"/>
        <v>18.116514010163584</v>
      </c>
      <c r="AZ221" s="75">
        <f t="shared" ca="1" si="250"/>
        <v>12.331241416816201</v>
      </c>
      <c r="BA221" s="75">
        <f t="shared" ca="1" si="206"/>
        <v>5.7852725933473828</v>
      </c>
      <c r="BB221" s="75">
        <f t="shared" ca="1" si="207"/>
        <v>98550.832375832717</v>
      </c>
      <c r="BC221" s="12"/>
      <c r="BD221" s="12"/>
    </row>
    <row r="222" spans="3:56">
      <c r="C222" s="3">
        <f t="shared" si="231"/>
        <v>19</v>
      </c>
      <c r="D222" s="3">
        <f t="shared" si="238"/>
        <v>10</v>
      </c>
      <c r="E222" s="1">
        <f t="shared" si="239"/>
        <v>2037</v>
      </c>
      <c r="F222" s="3">
        <f t="shared" si="232"/>
        <v>75</v>
      </c>
      <c r="G222" s="3">
        <f t="shared" si="240"/>
        <v>218</v>
      </c>
      <c r="H222" s="4">
        <f t="shared" si="255"/>
        <v>80221.519083139225</v>
      </c>
      <c r="L222" s="25" t="str">
        <f t="shared" ca="1" si="233"/>
        <v/>
      </c>
      <c r="M222" s="4">
        <f t="shared" si="234"/>
        <v>80221.519083139225</v>
      </c>
      <c r="N222" s="5">
        <f t="shared" si="210"/>
        <v>2.18E-2</v>
      </c>
      <c r="O222" s="6">
        <f t="shared" si="235"/>
        <v>5.0499999999999996E-2</v>
      </c>
      <c r="P222" s="4">
        <f t="shared" si="229"/>
        <v>337.59889280821091</v>
      </c>
      <c r="Q222" s="7">
        <f t="shared" si="236"/>
        <v>1147.1423660440526</v>
      </c>
      <c r="R222" s="4">
        <f t="shared" si="241"/>
        <v>809.5434732358417</v>
      </c>
      <c r="S222" s="4">
        <f t="shared" si="230"/>
        <v>79411.975609903384</v>
      </c>
      <c r="T222" s="4">
        <f t="shared" si="242"/>
        <v>0</v>
      </c>
      <c r="U222" s="4">
        <f t="shared" si="237"/>
        <v>79411.975609903384</v>
      </c>
      <c r="AE222" s="91" t="str">
        <f t="shared" ca="1" si="256"/>
        <v/>
      </c>
      <c r="AF222" s="70">
        <f t="shared" si="251"/>
        <v>45056</v>
      </c>
      <c r="AG222" s="10">
        <f t="shared" si="228"/>
        <v>45056</v>
      </c>
      <c r="AH222" s="29">
        <f ca="1">IF(AG222=TODAY()-1,Loan!F192,IF(AG222&gt;$AB$13,$AB$55,AH221-AI222*AF221+AI222*AF222))</f>
        <v>2.4526501766784836E-2</v>
      </c>
      <c r="AI222" s="87">
        <f t="shared" ca="1" si="222"/>
        <v>5.8303886925790759E-5</v>
      </c>
      <c r="AJ222" s="76" t="str">
        <f t="shared" ca="1" si="244"/>
        <v/>
      </c>
      <c r="AK222" s="76" t="str">
        <f t="shared" ca="1" si="253"/>
        <v/>
      </c>
      <c r="AL222" s="76" t="str">
        <f t="shared" ca="1" si="223"/>
        <v/>
      </c>
      <c r="AM222" s="11">
        <f t="shared" ca="1" si="245"/>
        <v>245.26501766784835</v>
      </c>
      <c r="AN222" s="11">
        <f t="shared" ca="1" si="246"/>
        <v>636.5777034051365</v>
      </c>
      <c r="AO222" s="11">
        <f t="shared" ca="1" si="215"/>
        <v>124.99161593242536</v>
      </c>
      <c r="AP222" s="12">
        <f t="shared" ca="1" si="216"/>
        <v>0.24432176517914519</v>
      </c>
      <c r="AQ222" s="11">
        <f t="shared" ca="1" si="247"/>
        <v>559.96415686465627</v>
      </c>
      <c r="AR222" s="11">
        <f t="shared" ca="1" si="217"/>
        <v>130.24343079563226</v>
      </c>
      <c r="AS222" s="12">
        <f t="shared" ca="1" si="218"/>
        <v>0.30308854773439964</v>
      </c>
      <c r="AT222" s="11">
        <f t="shared" ca="1" si="248"/>
        <v>511.01114869022678</v>
      </c>
      <c r="AU222" s="11">
        <f t="shared" ca="1" si="219"/>
        <v>135.36202497810672</v>
      </c>
      <c r="AV222" s="12">
        <f t="shared" ca="1" si="220"/>
        <v>0.36034164978338096</v>
      </c>
      <c r="AW222" s="10">
        <f t="shared" si="249"/>
        <v>45056</v>
      </c>
      <c r="AX222" s="76">
        <f t="shared" ca="1" si="205"/>
        <v>98550.832375832717</v>
      </c>
      <c r="AY222" s="75">
        <f t="shared" ca="1" si="254"/>
        <v>18.126194805256866</v>
      </c>
      <c r="AZ222" s="75">
        <f t="shared" ca="1" si="250"/>
        <v>12.346259755483922</v>
      </c>
      <c r="BA222" s="75">
        <f t="shared" ca="1" si="206"/>
        <v>5.7799350497729431</v>
      </c>
      <c r="BB222" s="75">
        <f t="shared" ca="1" si="207"/>
        <v>98545.052440782951</v>
      </c>
      <c r="BC222" s="12"/>
      <c r="BD222" s="12"/>
    </row>
    <row r="223" spans="3:56">
      <c r="C223" s="3">
        <f t="shared" si="231"/>
        <v>19</v>
      </c>
      <c r="D223" s="3">
        <f t="shared" si="238"/>
        <v>11</v>
      </c>
      <c r="E223" s="1">
        <f t="shared" si="239"/>
        <v>2037</v>
      </c>
      <c r="F223" s="3">
        <f t="shared" si="232"/>
        <v>75</v>
      </c>
      <c r="G223" s="3">
        <f t="shared" si="240"/>
        <v>219</v>
      </c>
      <c r="H223" s="4">
        <f t="shared" si="255"/>
        <v>79411.975609903384</v>
      </c>
      <c r="L223" s="25" t="str">
        <f t="shared" ca="1" si="233"/>
        <v/>
      </c>
      <c r="M223" s="4">
        <f t="shared" si="234"/>
        <v>79411.975609903384</v>
      </c>
      <c r="N223" s="5">
        <f t="shared" si="210"/>
        <v>2.18E-2</v>
      </c>
      <c r="O223" s="6">
        <f t="shared" si="235"/>
        <v>5.0499999999999996E-2</v>
      </c>
      <c r="P223" s="4">
        <f t="shared" si="229"/>
        <v>334.19206402501004</v>
      </c>
      <c r="Q223" s="7">
        <f t="shared" si="236"/>
        <v>1147.1423660440528</v>
      </c>
      <c r="R223" s="4">
        <f t="shared" si="241"/>
        <v>812.95030201904274</v>
      </c>
      <c r="S223" s="4">
        <f t="shared" si="230"/>
        <v>78599.025307884338</v>
      </c>
      <c r="T223" s="4">
        <f t="shared" si="242"/>
        <v>0</v>
      </c>
      <c r="U223" s="4">
        <f t="shared" si="237"/>
        <v>78599.025307884338</v>
      </c>
      <c r="AE223" s="91" t="str">
        <f t="shared" ca="1" si="256"/>
        <v/>
      </c>
      <c r="AF223" s="70">
        <f t="shared" si="251"/>
        <v>45057</v>
      </c>
      <c r="AG223" s="10">
        <f t="shared" si="228"/>
        <v>45057</v>
      </c>
      <c r="AH223" s="29">
        <f ca="1">IF(AG223=TODAY()-1,Loan!F193,IF(AG223&gt;$AB$13,$AB$55,AH222-AI223*AF222+AI223*AF223))</f>
        <v>2.4584805653710795E-2</v>
      </c>
      <c r="AI223" s="87">
        <f t="shared" ca="1" si="222"/>
        <v>5.8303886925787459E-5</v>
      </c>
      <c r="AJ223" s="76" t="str">
        <f t="shared" ca="1" si="244"/>
        <v/>
      </c>
      <c r="AK223" s="76" t="str">
        <f t="shared" ca="1" si="253"/>
        <v/>
      </c>
      <c r="AL223" s="76" t="str">
        <f t="shared" ca="1" si="223"/>
        <v/>
      </c>
      <c r="AM223" s="11">
        <f t="shared" ca="1" si="245"/>
        <v>245.84805653710794</v>
      </c>
      <c r="AN223" s="11">
        <f t="shared" ca="1" si="246"/>
        <v>636.89354535972359</v>
      </c>
      <c r="AO223" s="11">
        <f t="shared" ca="1" si="215"/>
        <v>125.30745788701245</v>
      </c>
      <c r="AP223" s="12">
        <f t="shared" ca="1" si="216"/>
        <v>0.24493914309914958</v>
      </c>
      <c r="AQ223" s="11">
        <f t="shared" ca="1" si="247"/>
        <v>560.29643157664475</v>
      </c>
      <c r="AR223" s="11">
        <f t="shared" ca="1" si="217"/>
        <v>130.57570550762074</v>
      </c>
      <c r="AS223" s="12">
        <f t="shared" ca="1" si="218"/>
        <v>0.30386178181837797</v>
      </c>
      <c r="AT223" s="11">
        <f t="shared" ca="1" si="248"/>
        <v>511.35909966195806</v>
      </c>
      <c r="AU223" s="11">
        <f t="shared" ca="1" si="219"/>
        <v>135.709975949838</v>
      </c>
      <c r="AV223" s="12">
        <f t="shared" ca="1" si="220"/>
        <v>0.36126791567824817</v>
      </c>
      <c r="AW223" s="10">
        <f t="shared" si="249"/>
        <v>45057</v>
      </c>
      <c r="AX223" s="76">
        <f t="shared" ca="1" si="205"/>
        <v>98545.052440782951</v>
      </c>
      <c r="AY223" s="75">
        <f t="shared" ca="1" si="254"/>
        <v>18.135878681311336</v>
      </c>
      <c r="AZ223" s="75">
        <f t="shared" ca="1" si="250"/>
        <v>12.361276915441058</v>
      </c>
      <c r="BA223" s="75">
        <f t="shared" ca="1" si="206"/>
        <v>5.774601765870278</v>
      </c>
      <c r="BB223" s="75">
        <f t="shared" ca="1" si="207"/>
        <v>98539.277839017086</v>
      </c>
      <c r="BC223" s="12"/>
      <c r="BD223" s="12"/>
    </row>
    <row r="224" spans="3:56">
      <c r="C224" s="3">
        <f t="shared" si="231"/>
        <v>19</v>
      </c>
      <c r="D224" s="3">
        <f t="shared" si="238"/>
        <v>12</v>
      </c>
      <c r="E224" s="1">
        <f t="shared" si="239"/>
        <v>2037</v>
      </c>
      <c r="F224" s="3">
        <f t="shared" si="232"/>
        <v>75</v>
      </c>
      <c r="G224" s="3">
        <f t="shared" si="240"/>
        <v>220</v>
      </c>
      <c r="H224" s="4">
        <f t="shared" si="255"/>
        <v>78599.025307884338</v>
      </c>
      <c r="L224" s="25" t="str">
        <f t="shared" ca="1" si="233"/>
        <v/>
      </c>
      <c r="M224" s="4">
        <f t="shared" si="234"/>
        <v>78599.025307884338</v>
      </c>
      <c r="N224" s="5">
        <f t="shared" si="210"/>
        <v>2.18E-2</v>
      </c>
      <c r="O224" s="6">
        <f t="shared" si="235"/>
        <v>5.0499999999999996E-2</v>
      </c>
      <c r="P224" s="4">
        <f t="shared" si="229"/>
        <v>330.77089817067991</v>
      </c>
      <c r="Q224" s="7">
        <f t="shared" si="236"/>
        <v>1147.142366044053</v>
      </c>
      <c r="R224" s="4">
        <f t="shared" si="241"/>
        <v>816.37146787337315</v>
      </c>
      <c r="S224" s="4">
        <f t="shared" si="230"/>
        <v>77782.653840010971</v>
      </c>
      <c r="T224" s="4">
        <f t="shared" si="242"/>
        <v>0</v>
      </c>
      <c r="U224" s="4">
        <f t="shared" si="237"/>
        <v>77782.653840010971</v>
      </c>
      <c r="AE224" s="91" t="str">
        <f t="shared" ca="1" si="256"/>
        <v/>
      </c>
      <c r="AF224" s="70">
        <f t="shared" si="251"/>
        <v>45058</v>
      </c>
      <c r="AG224" s="10">
        <f t="shared" si="228"/>
        <v>45058</v>
      </c>
      <c r="AH224" s="29">
        <f ca="1">IF(AG224=TODAY()-1,Loan!F194,IF(AG224&gt;$AB$13,$AB$55,AH223-AI224*AF223+AI224*AF224))</f>
        <v>2.464310954063631E-2</v>
      </c>
      <c r="AI224" s="87">
        <f t="shared" ca="1" si="222"/>
        <v>5.8303886925784031E-5</v>
      </c>
      <c r="AJ224" s="76" t="str">
        <f t="shared" ca="1" si="244"/>
        <v/>
      </c>
      <c r="AK224" s="76" t="str">
        <f t="shared" ca="1" si="253"/>
        <v/>
      </c>
      <c r="AL224" s="76" t="str">
        <f t="shared" ca="1" si="223"/>
        <v/>
      </c>
      <c r="AM224" s="11">
        <f t="shared" ca="1" si="245"/>
        <v>246.43109540636311</v>
      </c>
      <c r="AN224" s="11">
        <f t="shared" ca="1" si="246"/>
        <v>637.20947373383694</v>
      </c>
      <c r="AO224" s="11">
        <f t="shared" ca="1" si="215"/>
        <v>125.6233862611258</v>
      </c>
      <c r="AP224" s="12">
        <f t="shared" ca="1" si="216"/>
        <v>0.2455566899438538</v>
      </c>
      <c r="AQ224" s="11">
        <f t="shared" ca="1" si="247"/>
        <v>560.62880945157451</v>
      </c>
      <c r="AR224" s="11">
        <f t="shared" ca="1" si="217"/>
        <v>130.9080833825505</v>
      </c>
      <c r="AS224" s="12">
        <f t="shared" ca="1" si="218"/>
        <v>0.30463525597209234</v>
      </c>
      <c r="AT224" s="11">
        <f t="shared" ca="1" si="248"/>
        <v>511.70716771649882</v>
      </c>
      <c r="AU224" s="11">
        <f t="shared" ca="1" si="219"/>
        <v>136.05804400437876</v>
      </c>
      <c r="AV224" s="12">
        <f t="shared" ca="1" si="220"/>
        <v>0.36219449325442132</v>
      </c>
      <c r="AW224" s="10">
        <f t="shared" si="249"/>
        <v>45058</v>
      </c>
      <c r="AX224" s="76">
        <f t="shared" ca="1" si="205"/>
        <v>98539.277839017086</v>
      </c>
      <c r="AY224" s="75">
        <f t="shared" ca="1" si="254"/>
        <v>18.145565637601127</v>
      </c>
      <c r="AZ224" s="75">
        <f t="shared" ca="1" si="250"/>
        <v>12.376292898710293</v>
      </c>
      <c r="BA224" s="75">
        <f t="shared" ca="1" si="206"/>
        <v>5.7692727388908338</v>
      </c>
      <c r="BB224" s="75">
        <f t="shared" ca="1" si="207"/>
        <v>98533.508566278193</v>
      </c>
      <c r="BC224" s="12"/>
      <c r="BD224" s="12"/>
    </row>
    <row r="225" spans="3:56">
      <c r="C225" s="3">
        <f t="shared" si="231"/>
        <v>19</v>
      </c>
      <c r="D225" s="3">
        <f t="shared" si="238"/>
        <v>1</v>
      </c>
      <c r="E225" s="1">
        <f t="shared" si="239"/>
        <v>2038</v>
      </c>
      <c r="F225" s="3">
        <f t="shared" si="232"/>
        <v>75</v>
      </c>
      <c r="G225" s="3">
        <f t="shared" si="240"/>
        <v>221</v>
      </c>
      <c r="H225" s="4">
        <f t="shared" si="255"/>
        <v>77782.653840010971</v>
      </c>
      <c r="L225" s="25" t="str">
        <f t="shared" ca="1" si="233"/>
        <v/>
      </c>
      <c r="M225" s="4">
        <f t="shared" si="234"/>
        <v>77782.653840010971</v>
      </c>
      <c r="N225" s="5">
        <f t="shared" si="210"/>
        <v>2.18E-2</v>
      </c>
      <c r="O225" s="6">
        <f t="shared" si="235"/>
        <v>5.0499999999999996E-2</v>
      </c>
      <c r="P225" s="4">
        <f t="shared" si="229"/>
        <v>327.33533491004613</v>
      </c>
      <c r="Q225" s="7">
        <f t="shared" si="236"/>
        <v>1147.142366044053</v>
      </c>
      <c r="R225" s="4">
        <f t="shared" si="241"/>
        <v>819.80703113400682</v>
      </c>
      <c r="S225" s="4">
        <f t="shared" si="230"/>
        <v>76962.846808876959</v>
      </c>
      <c r="T225" s="4">
        <f t="shared" si="242"/>
        <v>0</v>
      </c>
      <c r="U225" s="4">
        <f t="shared" si="237"/>
        <v>76962.846808876959</v>
      </c>
      <c r="AE225" s="91" t="str">
        <f t="shared" ca="1" si="256"/>
        <v/>
      </c>
      <c r="AF225" s="70">
        <f t="shared" si="251"/>
        <v>45061</v>
      </c>
      <c r="AG225" s="10">
        <f t="shared" ref="AG225" si="265">AG224+3</f>
        <v>45061</v>
      </c>
      <c r="AH225" s="29">
        <f ca="1">IF(AG225=TODAY()-1,Loan!F195,IF(AG225&gt;$AB$13,$AB$55,AH224-AI225*AF224+AI225*AF225))</f>
        <v>2.4818021201413742E-2</v>
      </c>
      <c r="AI225" s="87">
        <f t="shared" ca="1" si="222"/>
        <v>5.8303886925789526E-5</v>
      </c>
      <c r="AJ225" s="76" t="str">
        <f t="shared" ca="1" si="244"/>
        <v/>
      </c>
      <c r="AK225" s="76" t="str">
        <f t="shared" ca="1" si="253"/>
        <v/>
      </c>
      <c r="AL225" s="76" t="str">
        <f t="shared" ca="1" si="223"/>
        <v/>
      </c>
      <c r="AM225" s="11">
        <f t="shared" ca="1" si="245"/>
        <v>248.18021201413742</v>
      </c>
      <c r="AN225" s="11">
        <f t="shared" ca="1" si="246"/>
        <v>638.15777718625679</v>
      </c>
      <c r="AO225" s="11">
        <f t="shared" ca="1" si="215"/>
        <v>126.57168971354565</v>
      </c>
      <c r="AP225" s="12">
        <f t="shared" ca="1" si="216"/>
        <v>0.24741034366048353</v>
      </c>
      <c r="AQ225" s="11">
        <f t="shared" ca="1" si="247"/>
        <v>561.62656171222034</v>
      </c>
      <c r="AR225" s="11">
        <f t="shared" ca="1" si="217"/>
        <v>131.90583564319633</v>
      </c>
      <c r="AS225" s="12">
        <f t="shared" ca="1" si="218"/>
        <v>0.30695711805627202</v>
      </c>
      <c r="AT225" s="11">
        <f t="shared" ca="1" si="248"/>
        <v>512.75207382787062</v>
      </c>
      <c r="AU225" s="11">
        <f t="shared" ca="1" si="219"/>
        <v>137.10295011575056</v>
      </c>
      <c r="AV225" s="12">
        <f t="shared" ca="1" si="220"/>
        <v>0.36497609460902097</v>
      </c>
      <c r="AW225" s="10">
        <f t="shared" si="249"/>
        <v>45061</v>
      </c>
      <c r="AX225" s="76">
        <f t="shared" ca="1" si="205"/>
        <v>98533.508566278193</v>
      </c>
      <c r="AY225" s="75">
        <f t="shared" ca="1" si="254"/>
        <v>18.178893875587871</v>
      </c>
      <c r="AZ225" s="75">
        <f t="shared" ca="1" si="250"/>
        <v>12.422786537678556</v>
      </c>
      <c r="BA225" s="75">
        <f t="shared" ca="1" si="206"/>
        <v>5.7561073379093148</v>
      </c>
      <c r="BB225" s="75">
        <f t="shared" ca="1" si="207"/>
        <v>98527.752458940289</v>
      </c>
      <c r="BC225" s="12"/>
      <c r="BD225" s="12"/>
    </row>
    <row r="226" spans="3:56">
      <c r="C226" s="3">
        <f t="shared" si="231"/>
        <v>19</v>
      </c>
      <c r="D226" s="3">
        <f t="shared" si="238"/>
        <v>2</v>
      </c>
      <c r="E226" s="1">
        <f t="shared" si="239"/>
        <v>2038</v>
      </c>
      <c r="F226" s="3">
        <f t="shared" si="232"/>
        <v>76</v>
      </c>
      <c r="G226" s="3">
        <f t="shared" si="240"/>
        <v>222</v>
      </c>
      <c r="H226" s="4">
        <f t="shared" si="255"/>
        <v>76962.846808876959</v>
      </c>
      <c r="L226" s="25" t="str">
        <f t="shared" ca="1" si="233"/>
        <v/>
      </c>
      <c r="M226" s="4">
        <f t="shared" si="234"/>
        <v>76962.846808876959</v>
      </c>
      <c r="N226" s="5">
        <f t="shared" si="210"/>
        <v>2.18E-2</v>
      </c>
      <c r="O226" s="6">
        <f t="shared" si="235"/>
        <v>5.0499999999999996E-2</v>
      </c>
      <c r="P226" s="4">
        <f t="shared" si="229"/>
        <v>323.88531365402383</v>
      </c>
      <c r="Q226" s="7">
        <f t="shared" si="236"/>
        <v>1147.1423660440537</v>
      </c>
      <c r="R226" s="4">
        <f t="shared" si="241"/>
        <v>823.25705239002991</v>
      </c>
      <c r="S226" s="4">
        <f t="shared" si="230"/>
        <v>76139.589756486923</v>
      </c>
      <c r="T226" s="4">
        <f t="shared" si="242"/>
        <v>0</v>
      </c>
      <c r="U226" s="4">
        <f t="shared" si="237"/>
        <v>76139.589756486923</v>
      </c>
      <c r="AE226" s="91" t="str">
        <f t="shared" ca="1" si="256"/>
        <v/>
      </c>
      <c r="AF226" s="70">
        <f t="shared" si="251"/>
        <v>45062</v>
      </c>
      <c r="AG226" s="10">
        <f t="shared" ref="AG226" si="266">AG225+1</f>
        <v>45062</v>
      </c>
      <c r="AH226" s="29">
        <f ca="1">IF(AG226=TODAY()-1,Loan!F196,IF(AG226&gt;$AB$13,$AB$55,AH225-AI226*AF225+AI226*AF226))</f>
        <v>2.4876325088339257E-2</v>
      </c>
      <c r="AI226" s="87">
        <f t="shared" ca="1" si="222"/>
        <v>5.8303886925788137E-5</v>
      </c>
      <c r="AJ226" s="76" t="str">
        <f t="shared" ca="1" si="244"/>
        <v/>
      </c>
      <c r="AK226" s="76" t="str">
        <f t="shared" ca="1" si="253"/>
        <v/>
      </c>
      <c r="AL226" s="76" t="str">
        <f t="shared" ca="1" si="223"/>
        <v/>
      </c>
      <c r="AM226" s="11">
        <f t="shared" ca="1" si="245"/>
        <v>248.76325088339257</v>
      </c>
      <c r="AN226" s="11">
        <f t="shared" ca="1" si="246"/>
        <v>638.47405105128132</v>
      </c>
      <c r="AO226" s="11">
        <f t="shared" ca="1" si="215"/>
        <v>126.88796357857018</v>
      </c>
      <c r="AP226" s="12">
        <f t="shared" ca="1" si="216"/>
        <v>0.24802856583807822</v>
      </c>
      <c r="AQ226" s="11">
        <f t="shared" ca="1" si="247"/>
        <v>561.95935189695751</v>
      </c>
      <c r="AR226" s="11">
        <f t="shared" ca="1" si="217"/>
        <v>132.2386258279335</v>
      </c>
      <c r="AS226" s="12">
        <f t="shared" ca="1" si="218"/>
        <v>0.30773155169316324</v>
      </c>
      <c r="AT226" s="11">
        <f t="shared" ca="1" si="248"/>
        <v>513.10060966433241</v>
      </c>
      <c r="AU226" s="11">
        <f t="shared" ca="1" si="219"/>
        <v>137.45148595221235</v>
      </c>
      <c r="AV226" s="12">
        <f t="shared" ca="1" si="220"/>
        <v>0.36590391744810447</v>
      </c>
      <c r="AW226" s="10">
        <f t="shared" si="249"/>
        <v>45062</v>
      </c>
      <c r="AX226" s="76">
        <f t="shared" ca="1" si="205"/>
        <v>98527.752458940289</v>
      </c>
      <c r="AY226" s="75">
        <f t="shared" ca="1" si="254"/>
        <v>18.186470596949992</v>
      </c>
      <c r="AZ226" s="75">
        <f t="shared" ca="1" si="250"/>
        <v>12.437799321976852</v>
      </c>
      <c r="BA226" s="75">
        <f t="shared" ca="1" si="206"/>
        <v>5.7486712749731392</v>
      </c>
      <c r="BB226" s="75">
        <f t="shared" ca="1" si="207"/>
        <v>98522.003787665322</v>
      </c>
      <c r="BC226" s="12"/>
      <c r="BD226" s="12"/>
    </row>
    <row r="227" spans="3:56">
      <c r="C227" s="3">
        <f t="shared" si="231"/>
        <v>19</v>
      </c>
      <c r="D227" s="3">
        <f t="shared" si="238"/>
        <v>3</v>
      </c>
      <c r="E227" s="1">
        <f t="shared" si="239"/>
        <v>2038</v>
      </c>
      <c r="F227" s="3">
        <f t="shared" si="232"/>
        <v>76</v>
      </c>
      <c r="G227" s="3">
        <f t="shared" si="240"/>
        <v>223</v>
      </c>
      <c r="H227" s="4">
        <f t="shared" si="255"/>
        <v>76139.589756486923</v>
      </c>
      <c r="L227" s="25" t="str">
        <f t="shared" ca="1" si="233"/>
        <v/>
      </c>
      <c r="M227" s="4">
        <f t="shared" si="234"/>
        <v>76139.589756486923</v>
      </c>
      <c r="N227" s="5">
        <f t="shared" si="210"/>
        <v>2.18E-2</v>
      </c>
      <c r="O227" s="6">
        <f t="shared" si="235"/>
        <v>5.0499999999999996E-2</v>
      </c>
      <c r="P227" s="4">
        <f t="shared" si="229"/>
        <v>320.42077355854912</v>
      </c>
      <c r="Q227" s="7">
        <f t="shared" si="236"/>
        <v>1147.1423660440532</v>
      </c>
      <c r="R227" s="4">
        <f t="shared" si="241"/>
        <v>826.72159248550406</v>
      </c>
      <c r="S227" s="4">
        <f t="shared" si="230"/>
        <v>75312.868164001426</v>
      </c>
      <c r="T227" s="4">
        <f t="shared" si="242"/>
        <v>0</v>
      </c>
      <c r="U227" s="4">
        <f t="shared" si="237"/>
        <v>75312.868164001426</v>
      </c>
      <c r="AE227" s="91" t="str">
        <f t="shared" ca="1" si="256"/>
        <v/>
      </c>
      <c r="AF227" s="70">
        <f t="shared" si="251"/>
        <v>45063</v>
      </c>
      <c r="AG227" s="10">
        <f t="shared" si="228"/>
        <v>45063</v>
      </c>
      <c r="AH227" s="29">
        <f ca="1">IF(AG227=TODAY()-1,Loan!F197,IF(AG227&gt;$AB$13,$AB$55,AH226-AI227*AF226+AI227*AF227))</f>
        <v>2.4934628975265216E-2</v>
      </c>
      <c r="AI227" s="87">
        <f t="shared" ca="1" si="222"/>
        <v>5.8303886925794209E-5</v>
      </c>
      <c r="AJ227" s="76" t="str">
        <f t="shared" ca="1" si="244"/>
        <v/>
      </c>
      <c r="AK227" s="76" t="str">
        <f t="shared" ca="1" si="253"/>
        <v/>
      </c>
      <c r="AL227" s="76" t="str">
        <f t="shared" ca="1" si="223"/>
        <v/>
      </c>
      <c r="AM227" s="11">
        <f t="shared" ca="1" si="245"/>
        <v>249.34628975265215</v>
      </c>
      <c r="AN227" s="11">
        <f t="shared" ca="1" si="246"/>
        <v>638.79041124217713</v>
      </c>
      <c r="AO227" s="11">
        <f t="shared" ca="1" si="215"/>
        <v>127.20432376946599</v>
      </c>
      <c r="AP227" s="12">
        <f t="shared" ca="1" si="216"/>
        <v>0.24864695675730486</v>
      </c>
      <c r="AQ227" s="11">
        <f t="shared" ca="1" si="247"/>
        <v>562.29224507353786</v>
      </c>
      <c r="AR227" s="11">
        <f t="shared" ca="1" si="217"/>
        <v>132.57151900451385</v>
      </c>
      <c r="AS227" s="12">
        <f t="shared" ca="1" si="218"/>
        <v>0.30850622500162933</v>
      </c>
      <c r="AT227" s="11">
        <f t="shared" ca="1" si="248"/>
        <v>513.44926230877627</v>
      </c>
      <c r="AU227" s="11">
        <f t="shared" ca="1" si="219"/>
        <v>137.80013859665621</v>
      </c>
      <c r="AV227" s="12">
        <f t="shared" ca="1" si="220"/>
        <v>0.36683205123688722</v>
      </c>
      <c r="AW227" s="10">
        <f t="shared" si="249"/>
        <v>45063</v>
      </c>
      <c r="AX227" s="76">
        <f t="shared" ca="1" si="205"/>
        <v>98522.003787665322</v>
      </c>
      <c r="AY227" s="75">
        <f t="shared" ca="1" si="254"/>
        <v>18.196174078049182</v>
      </c>
      <c r="AZ227" s="75">
        <f t="shared" ca="1" si="250"/>
        <v>12.452811207242778</v>
      </c>
      <c r="BA227" s="75">
        <f t="shared" ca="1" si="206"/>
        <v>5.7433628708064042</v>
      </c>
      <c r="BB227" s="75">
        <f t="shared" ca="1" si="207"/>
        <v>98516.260424794513</v>
      </c>
      <c r="BC227" s="12"/>
      <c r="BD227" s="12"/>
    </row>
    <row r="228" spans="3:56">
      <c r="C228" s="3">
        <f t="shared" si="231"/>
        <v>19</v>
      </c>
      <c r="D228" s="3">
        <f t="shared" si="238"/>
        <v>4</v>
      </c>
      <c r="E228" s="1">
        <f t="shared" si="239"/>
        <v>2038</v>
      </c>
      <c r="F228" s="3">
        <f t="shared" si="232"/>
        <v>76</v>
      </c>
      <c r="G228" s="3">
        <f t="shared" si="240"/>
        <v>224</v>
      </c>
      <c r="H228" s="4">
        <f t="shared" si="255"/>
        <v>75312.868164001426</v>
      </c>
      <c r="L228" s="25" t="str">
        <f t="shared" ca="1" si="233"/>
        <v/>
      </c>
      <c r="M228" s="4">
        <f t="shared" si="234"/>
        <v>75312.868164001426</v>
      </c>
      <c r="N228" s="5">
        <f t="shared" si="210"/>
        <v>2.18E-2</v>
      </c>
      <c r="O228" s="6">
        <f t="shared" si="235"/>
        <v>5.0499999999999996E-2</v>
      </c>
      <c r="P228" s="4">
        <f t="shared" si="229"/>
        <v>316.94165352350598</v>
      </c>
      <c r="Q228" s="7">
        <f t="shared" si="236"/>
        <v>1147.1423660440535</v>
      </c>
      <c r="R228" s="4">
        <f t="shared" si="241"/>
        <v>830.20071252054754</v>
      </c>
      <c r="S228" s="4">
        <f t="shared" si="230"/>
        <v>74482.667451480884</v>
      </c>
      <c r="T228" s="4">
        <f t="shared" si="242"/>
        <v>0</v>
      </c>
      <c r="U228" s="4">
        <f t="shared" si="237"/>
        <v>74482.667451480884</v>
      </c>
      <c r="AE228" s="91" t="str">
        <f t="shared" ca="1" si="256"/>
        <v/>
      </c>
      <c r="AF228" s="70">
        <f t="shared" si="251"/>
        <v>45064</v>
      </c>
      <c r="AG228" s="10">
        <f t="shared" si="228"/>
        <v>45064</v>
      </c>
      <c r="AH228" s="29">
        <f ca="1">IF(AG228=TODAY()-1,Loan!F198,IF(AG228&gt;$AB$13,$AB$55,AH227-AI228*AF227+AI228*AF228))</f>
        <v>2.4992932862190731E-2</v>
      </c>
      <c r="AI228" s="87">
        <f t="shared" ca="1" si="222"/>
        <v>5.8303886925790468E-5</v>
      </c>
      <c r="AJ228" s="76" t="str">
        <f t="shared" ca="1" si="244"/>
        <v/>
      </c>
      <c r="AK228" s="76" t="str">
        <f t="shared" ca="1" si="253"/>
        <v/>
      </c>
      <c r="AL228" s="76" t="str">
        <f t="shared" ca="1" si="223"/>
        <v/>
      </c>
      <c r="AM228" s="11">
        <f t="shared" ca="1" si="245"/>
        <v>249.9293286219073</v>
      </c>
      <c r="AN228" s="11">
        <f t="shared" ca="1" si="246"/>
        <v>639.10685774009767</v>
      </c>
      <c r="AO228" s="11">
        <f t="shared" ca="1" si="215"/>
        <v>127.52077026738652</v>
      </c>
      <c r="AP228" s="12">
        <f t="shared" ca="1" si="216"/>
        <v>0.24926551638132399</v>
      </c>
      <c r="AQ228" s="11">
        <f t="shared" ca="1" si="247"/>
        <v>562.62524120760634</v>
      </c>
      <c r="AR228" s="11">
        <f t="shared" ca="1" si="217"/>
        <v>132.90451513858233</v>
      </c>
      <c r="AS228" s="12">
        <f t="shared" ca="1" si="218"/>
        <v>0.30928113790172296</v>
      </c>
      <c r="AT228" s="11">
        <f t="shared" ca="1" si="248"/>
        <v>513.79803170608307</v>
      </c>
      <c r="AU228" s="11">
        <f t="shared" ca="1" si="219"/>
        <v>138.14890799396301</v>
      </c>
      <c r="AV228" s="12">
        <f t="shared" ca="1" si="220"/>
        <v>0.36776049582863896</v>
      </c>
      <c r="AW228" s="10">
        <f t="shared" si="249"/>
        <v>45064</v>
      </c>
      <c r="AX228" s="76">
        <f t="shared" ca="1" si="205"/>
        <v>98516.260424794513</v>
      </c>
      <c r="AY228" s="75">
        <f t="shared" ca="1" si="254"/>
        <v>18.205880635385554</v>
      </c>
      <c r="AZ228" s="75">
        <f t="shared" ca="1" si="250"/>
        <v>12.467821927771592</v>
      </c>
      <c r="BA228" s="75">
        <f t="shared" ca="1" si="206"/>
        <v>5.7380587076139626</v>
      </c>
      <c r="BB228" s="75">
        <f t="shared" ca="1" si="207"/>
        <v>98510.522366086894</v>
      </c>
      <c r="BC228" s="12"/>
      <c r="BD228" s="12"/>
    </row>
    <row r="229" spans="3:56">
      <c r="C229" s="3">
        <f t="shared" si="231"/>
        <v>19</v>
      </c>
      <c r="D229" s="3">
        <f t="shared" si="238"/>
        <v>5</v>
      </c>
      <c r="E229" s="1">
        <f t="shared" si="239"/>
        <v>2038</v>
      </c>
      <c r="F229" s="3">
        <f t="shared" si="232"/>
        <v>76</v>
      </c>
      <c r="G229" s="3">
        <f t="shared" si="240"/>
        <v>225</v>
      </c>
      <c r="H229" s="4">
        <f t="shared" si="255"/>
        <v>74482.667451480884</v>
      </c>
      <c r="L229" s="25" t="str">
        <f t="shared" ca="1" si="233"/>
        <v/>
      </c>
      <c r="M229" s="4">
        <f t="shared" si="234"/>
        <v>74482.667451480884</v>
      </c>
      <c r="N229" s="5">
        <f t="shared" si="210"/>
        <v>2.18E-2</v>
      </c>
      <c r="O229" s="6">
        <f t="shared" si="235"/>
        <v>5.0499999999999996E-2</v>
      </c>
      <c r="P229" s="4">
        <f t="shared" si="229"/>
        <v>313.44789219164869</v>
      </c>
      <c r="Q229" s="7">
        <f t="shared" si="236"/>
        <v>1147.1423660440539</v>
      </c>
      <c r="R229" s="4">
        <f t="shared" si="241"/>
        <v>833.69447385240528</v>
      </c>
      <c r="S229" s="4">
        <f t="shared" si="230"/>
        <v>73648.97297762848</v>
      </c>
      <c r="T229" s="4">
        <f t="shared" si="242"/>
        <v>0</v>
      </c>
      <c r="U229" s="4">
        <f t="shared" si="237"/>
        <v>73648.97297762848</v>
      </c>
      <c r="AE229" s="91" t="str">
        <f t="shared" ca="1" si="256"/>
        <v/>
      </c>
      <c r="AF229" s="70">
        <f t="shared" si="251"/>
        <v>45065</v>
      </c>
      <c r="AG229" s="10">
        <f t="shared" si="228"/>
        <v>45065</v>
      </c>
      <c r="AH229" s="29">
        <f ca="1">IF(AG229=TODAY()-1,Loan!F199,IF(AG229&gt;$AB$13,$AB$55,AH228-AI229*AF228+AI229*AF229))</f>
        <v>2.5051236749116246E-2</v>
      </c>
      <c r="AI229" s="87">
        <f t="shared" ca="1" si="222"/>
        <v>5.8303886925796878E-5</v>
      </c>
      <c r="AJ229" s="76" t="str">
        <f t="shared" ca="1" si="244"/>
        <v/>
      </c>
      <c r="AK229" s="76" t="str">
        <f t="shared" ca="1" si="253"/>
        <v/>
      </c>
      <c r="AL229" s="76" t="str">
        <f t="shared" ca="1" si="223"/>
        <v/>
      </c>
      <c r="AM229" s="11">
        <f t="shared" ca="1" si="245"/>
        <v>250.51236749116245</v>
      </c>
      <c r="AN229" s="11">
        <f t="shared" ca="1" si="246"/>
        <v>639.42339052625903</v>
      </c>
      <c r="AO229" s="11">
        <f t="shared" ca="1" si="215"/>
        <v>127.83730305354788</v>
      </c>
      <c r="AP229" s="12">
        <f t="shared" ca="1" si="216"/>
        <v>0.2498842446734186</v>
      </c>
      <c r="AQ229" s="11">
        <f t="shared" ca="1" si="247"/>
        <v>562.95834026484374</v>
      </c>
      <c r="AR229" s="11">
        <f t="shared" ca="1" si="217"/>
        <v>133.23761419581973</v>
      </c>
      <c r="AS229" s="12">
        <f t="shared" ca="1" si="218"/>
        <v>0.31005629031358006</v>
      </c>
      <c r="AT229" s="11">
        <f t="shared" ca="1" si="248"/>
        <v>514.14691780114936</v>
      </c>
      <c r="AU229" s="11">
        <f t="shared" ca="1" si="219"/>
        <v>138.4977940890293</v>
      </c>
      <c r="AV229" s="12">
        <f t="shared" ca="1" si="220"/>
        <v>0.36868925107667105</v>
      </c>
      <c r="AW229" s="10">
        <f t="shared" si="249"/>
        <v>45065</v>
      </c>
      <c r="AX229" s="76">
        <f t="shared" ca="1" si="205"/>
        <v>98510.522366086894</v>
      </c>
      <c r="AY229" s="75">
        <f t="shared" ca="1" si="254"/>
        <v>18.215590268231484</v>
      </c>
      <c r="AZ229" s="75">
        <f t="shared" ca="1" si="250"/>
        <v>12.482831485569854</v>
      </c>
      <c r="BA229" s="75">
        <f t="shared" ca="1" si="206"/>
        <v>5.7327587826616302</v>
      </c>
      <c r="BB229" s="75">
        <f t="shared" ca="1" si="207"/>
        <v>98504.789607304236</v>
      </c>
      <c r="BC229" s="12"/>
      <c r="BD229" s="12"/>
    </row>
    <row r="230" spans="3:56">
      <c r="C230" s="3">
        <f t="shared" si="231"/>
        <v>19</v>
      </c>
      <c r="D230" s="3">
        <f t="shared" si="238"/>
        <v>6</v>
      </c>
      <c r="E230" s="1">
        <f t="shared" si="239"/>
        <v>2038</v>
      </c>
      <c r="F230" s="3">
        <f t="shared" si="232"/>
        <v>76</v>
      </c>
      <c r="G230" s="3">
        <f t="shared" si="240"/>
        <v>226</v>
      </c>
      <c r="H230" s="4">
        <f t="shared" si="255"/>
        <v>73648.97297762848</v>
      </c>
      <c r="L230" s="25" t="str">
        <f t="shared" ca="1" si="233"/>
        <v/>
      </c>
      <c r="M230" s="4">
        <f t="shared" si="234"/>
        <v>73648.97297762848</v>
      </c>
      <c r="N230" s="5">
        <f t="shared" si="210"/>
        <v>2.18E-2</v>
      </c>
      <c r="O230" s="6">
        <f t="shared" si="235"/>
        <v>5.0499999999999996E-2</v>
      </c>
      <c r="P230" s="4">
        <f t="shared" si="229"/>
        <v>309.93942794751985</v>
      </c>
      <c r="Q230" s="7">
        <f t="shared" si="236"/>
        <v>1147.1423660440544</v>
      </c>
      <c r="R230" s="4">
        <f t="shared" si="241"/>
        <v>837.20293809653458</v>
      </c>
      <c r="S230" s="4">
        <f t="shared" si="230"/>
        <v>72811.770039531941</v>
      </c>
      <c r="T230" s="4">
        <f t="shared" si="242"/>
        <v>0</v>
      </c>
      <c r="U230" s="4">
        <f t="shared" si="237"/>
        <v>72811.770039531941</v>
      </c>
      <c r="AE230" s="91" t="str">
        <f t="shared" ca="1" si="256"/>
        <v/>
      </c>
      <c r="AF230" s="70">
        <f t="shared" si="251"/>
        <v>45068</v>
      </c>
      <c r="AG230" s="10">
        <f t="shared" ref="AG230" si="267">AG229+3</f>
        <v>45068</v>
      </c>
      <c r="AH230" s="29">
        <f ca="1">IF(AG230=TODAY()-1,Loan!F200,IF(AG230&gt;$AB$13,$AB$55,AH229-AI230*AF229+AI230*AF230))</f>
        <v>2.5226148409893678E-2</v>
      </c>
      <c r="AI230" s="87">
        <f t="shared" ca="1" si="222"/>
        <v>5.8303886925803594E-5</v>
      </c>
      <c r="AJ230" s="76" t="str">
        <f t="shared" ca="1" si="244"/>
        <v/>
      </c>
      <c r="AK230" s="76" t="str">
        <f t="shared" ca="1" si="253"/>
        <v/>
      </c>
      <c r="AL230" s="76" t="str">
        <f t="shared" ca="1" si="223"/>
        <v/>
      </c>
      <c r="AM230" s="11">
        <f t="shared" ca="1" si="245"/>
        <v>252.26148409893679</v>
      </c>
      <c r="AN230" s="11">
        <f t="shared" ca="1" si="246"/>
        <v>640.3735064258816</v>
      </c>
      <c r="AO230" s="11">
        <f t="shared" ca="1" si="215"/>
        <v>128.78741895317046</v>
      </c>
      <c r="AP230" s="12">
        <f t="shared" ca="1" si="216"/>
        <v>0.25174144119007186</v>
      </c>
      <c r="AQ230" s="11">
        <f t="shared" ca="1" si="247"/>
        <v>563.95825463178835</v>
      </c>
      <c r="AR230" s="11">
        <f t="shared" ca="1" si="217"/>
        <v>134.23752856276434</v>
      </c>
      <c r="AS230" s="12">
        <f t="shared" ca="1" si="218"/>
        <v>0.31238318381972202</v>
      </c>
      <c r="AT230" s="11">
        <f t="shared" ca="1" si="248"/>
        <v>515.19427572118013</v>
      </c>
      <c r="AU230" s="11">
        <f t="shared" ca="1" si="219"/>
        <v>139.54515200906008</v>
      </c>
      <c r="AV230" s="12">
        <f t="shared" ca="1" si="220"/>
        <v>0.37147737928972507</v>
      </c>
      <c r="AW230" s="10">
        <f t="shared" si="249"/>
        <v>45068</v>
      </c>
      <c r="AX230" s="76">
        <f t="shared" ca="1" si="205"/>
        <v>98504.789607304236</v>
      </c>
      <c r="AY230" s="75">
        <f t="shared" ca="1" si="254"/>
        <v>18.248977121866414</v>
      </c>
      <c r="AZ230" s="75">
        <f t="shared" ca="1" si="250"/>
        <v>12.529309538065915</v>
      </c>
      <c r="BA230" s="75">
        <f t="shared" ca="1" si="206"/>
        <v>5.7196675838004989</v>
      </c>
      <c r="BB230" s="75">
        <f t="shared" ca="1" si="207"/>
        <v>98499.06993972043</v>
      </c>
      <c r="BC230" s="12"/>
      <c r="BD230" s="12"/>
    </row>
    <row r="231" spans="3:56">
      <c r="C231" s="3">
        <f t="shared" si="231"/>
        <v>19</v>
      </c>
      <c r="D231" s="3">
        <f t="shared" si="238"/>
        <v>7</v>
      </c>
      <c r="E231" s="1">
        <f t="shared" si="239"/>
        <v>2038</v>
      </c>
      <c r="F231" s="3">
        <f t="shared" si="232"/>
        <v>76</v>
      </c>
      <c r="G231" s="3">
        <f t="shared" si="240"/>
        <v>227</v>
      </c>
      <c r="H231" s="4">
        <f t="shared" si="255"/>
        <v>72811.770039531941</v>
      </c>
      <c r="L231" s="25" t="str">
        <f t="shared" ca="1" si="233"/>
        <v/>
      </c>
      <c r="M231" s="4">
        <f t="shared" si="234"/>
        <v>72811.770039531941</v>
      </c>
      <c r="N231" s="5">
        <f t="shared" si="210"/>
        <v>2.18E-2</v>
      </c>
      <c r="O231" s="6">
        <f t="shared" si="235"/>
        <v>5.0499999999999996E-2</v>
      </c>
      <c r="P231" s="4">
        <f t="shared" si="229"/>
        <v>306.41619891636356</v>
      </c>
      <c r="Q231" s="7">
        <f t="shared" si="236"/>
        <v>1147.1423660440539</v>
      </c>
      <c r="R231" s="4">
        <f t="shared" si="241"/>
        <v>840.72616712769036</v>
      </c>
      <c r="S231" s="4">
        <f t="shared" si="230"/>
        <v>71971.043872404247</v>
      </c>
      <c r="T231" s="4">
        <f t="shared" si="242"/>
        <v>0</v>
      </c>
      <c r="U231" s="4">
        <f t="shared" si="237"/>
        <v>71971.043872404247</v>
      </c>
      <c r="AE231" s="91" t="str">
        <f t="shared" ca="1" si="256"/>
        <v/>
      </c>
      <c r="AF231" s="70">
        <f t="shared" si="251"/>
        <v>45069</v>
      </c>
      <c r="AG231" s="10">
        <f t="shared" ref="AG231" si="268">AG230+1</f>
        <v>45069</v>
      </c>
      <c r="AH231" s="29">
        <f ca="1">IF(AG231=TODAY()-1,Loan!F201,IF(AG231&gt;$AB$13,$AB$55,AH230-AI231*AF230+AI231*AF231))</f>
        <v>2.5284452296819193E-2</v>
      </c>
      <c r="AI231" s="87">
        <f t="shared" ca="1" si="222"/>
        <v>5.8303886925803031E-5</v>
      </c>
      <c r="AJ231" s="76" t="str">
        <f t="shared" ca="1" si="244"/>
        <v/>
      </c>
      <c r="AK231" s="76" t="str">
        <f t="shared" ca="1" si="253"/>
        <v/>
      </c>
      <c r="AL231" s="76" t="str">
        <f t="shared" ca="1" si="223"/>
        <v/>
      </c>
      <c r="AM231" s="11">
        <f t="shared" ca="1" si="245"/>
        <v>252.84452296819194</v>
      </c>
      <c r="AN231" s="11">
        <f t="shared" ca="1" si="246"/>
        <v>640.69038417655599</v>
      </c>
      <c r="AO231" s="11">
        <f t="shared" ca="1" si="215"/>
        <v>129.10429670384485</v>
      </c>
      <c r="AP231" s="12">
        <f t="shared" ca="1" si="216"/>
        <v>0.25236084378610374</v>
      </c>
      <c r="AQ231" s="11">
        <f t="shared" ca="1" si="247"/>
        <v>564.29176503773454</v>
      </c>
      <c r="AR231" s="11">
        <f t="shared" ca="1" si="217"/>
        <v>134.57103896871052</v>
      </c>
      <c r="AS231" s="12">
        <f t="shared" ca="1" si="218"/>
        <v>0.31315929347819033</v>
      </c>
      <c r="AT231" s="11">
        <f t="shared" ca="1" si="248"/>
        <v>515.54362805533776</v>
      </c>
      <c r="AU231" s="11">
        <f t="shared" ca="1" si="219"/>
        <v>139.8945043432177</v>
      </c>
      <c r="AV231" s="12">
        <f t="shared" ca="1" si="220"/>
        <v>0.3724073756935643</v>
      </c>
      <c r="AW231" s="10">
        <f t="shared" si="249"/>
        <v>45069</v>
      </c>
      <c r="AX231" s="76">
        <f t="shared" ca="1" si="205"/>
        <v>98499.06993972043</v>
      </c>
      <c r="AY231" s="75">
        <f t="shared" ca="1" si="254"/>
        <v>18.256581188254756</v>
      </c>
      <c r="AZ231" s="75">
        <f t="shared" ca="1" si="250"/>
        <v>12.544315939435593</v>
      </c>
      <c r="BA231" s="75">
        <f t="shared" ca="1" si="206"/>
        <v>5.712265248819163</v>
      </c>
      <c r="BB231" s="75">
        <f t="shared" ca="1" si="207"/>
        <v>98493.357674471612</v>
      </c>
      <c r="BC231" s="12"/>
      <c r="BD231" s="12"/>
    </row>
    <row r="232" spans="3:56">
      <c r="C232" s="3">
        <f t="shared" si="231"/>
        <v>19</v>
      </c>
      <c r="D232" s="3">
        <f t="shared" si="238"/>
        <v>8</v>
      </c>
      <c r="E232" s="1">
        <f t="shared" si="239"/>
        <v>2038</v>
      </c>
      <c r="F232" s="3">
        <f t="shared" si="232"/>
        <v>76</v>
      </c>
      <c r="G232" s="3">
        <f t="shared" si="240"/>
        <v>228</v>
      </c>
      <c r="H232" s="4">
        <f t="shared" si="255"/>
        <v>71971.043872404247</v>
      </c>
      <c r="L232" s="25" t="str">
        <f t="shared" ca="1" si="233"/>
        <v/>
      </c>
      <c r="M232" s="4">
        <f t="shared" si="234"/>
        <v>71971.043872404247</v>
      </c>
      <c r="N232" s="5">
        <f t="shared" si="210"/>
        <v>2.18E-2</v>
      </c>
      <c r="O232" s="6">
        <f t="shared" si="235"/>
        <v>5.0499999999999996E-2</v>
      </c>
      <c r="P232" s="4">
        <f t="shared" si="229"/>
        <v>302.87814296303452</v>
      </c>
      <c r="Q232" s="7">
        <f t="shared" si="236"/>
        <v>1147.1423660440548</v>
      </c>
      <c r="R232" s="4">
        <f t="shared" si="241"/>
        <v>844.2642230810203</v>
      </c>
      <c r="S232" s="4">
        <f t="shared" si="230"/>
        <v>71126.779649323231</v>
      </c>
      <c r="T232" s="4">
        <f t="shared" si="242"/>
        <v>0</v>
      </c>
      <c r="U232" s="4">
        <f t="shared" si="237"/>
        <v>71126.779649323231</v>
      </c>
      <c r="AE232" s="91" t="str">
        <f t="shared" ca="1" si="256"/>
        <v/>
      </c>
      <c r="AF232" s="70">
        <f t="shared" si="251"/>
        <v>45070</v>
      </c>
      <c r="AG232" s="10">
        <f t="shared" si="228"/>
        <v>45070</v>
      </c>
      <c r="AH232" s="29">
        <f ca="1">IF(AG232=TODAY()-1,Loan!F202,IF(AG232&gt;$AB$13,$AB$55,AH231-AI232*AF231+AI232*AF232))</f>
        <v>2.5342756183745152E-2</v>
      </c>
      <c r="AI232" s="87">
        <f t="shared" ca="1" si="222"/>
        <v>5.8303886925810621E-5</v>
      </c>
      <c r="AJ232" s="76" t="str">
        <f t="shared" ca="1" si="244"/>
        <v/>
      </c>
      <c r="AK232" s="76" t="str">
        <f t="shared" ca="1" si="253"/>
        <v/>
      </c>
      <c r="AL232" s="76" t="str">
        <f t="shared" ca="1" si="223"/>
        <v/>
      </c>
      <c r="AM232" s="11">
        <f t="shared" ca="1" si="245"/>
        <v>253.42756183745152</v>
      </c>
      <c r="AN232" s="11">
        <f t="shared" ca="1" si="246"/>
        <v>641.0073481211773</v>
      </c>
      <c r="AO232" s="11">
        <f t="shared" ca="1" si="215"/>
        <v>129.42126064846616</v>
      </c>
      <c r="AP232" s="12">
        <f t="shared" ca="1" si="216"/>
        <v>0.25298041486589429</v>
      </c>
      <c r="AQ232" s="11">
        <f t="shared" ca="1" si="247"/>
        <v>564.62537819474039</v>
      </c>
      <c r="AR232" s="11">
        <f t="shared" ca="1" si="217"/>
        <v>134.90465212571638</v>
      </c>
      <c r="AS232" s="12">
        <f t="shared" ca="1" si="218"/>
        <v>0.31393564224790799</v>
      </c>
      <c r="AT232" s="11">
        <f t="shared" ca="1" si="248"/>
        <v>515.8930968111099</v>
      </c>
      <c r="AU232" s="11">
        <f t="shared" ca="1" si="219"/>
        <v>140.24397309898984</v>
      </c>
      <c r="AV232" s="12">
        <f t="shared" ca="1" si="220"/>
        <v>0.37333768201856971</v>
      </c>
      <c r="AW232" s="10">
        <f t="shared" si="249"/>
        <v>45070</v>
      </c>
      <c r="AX232" s="76">
        <f t="shared" ca="1" si="205"/>
        <v>98493.357674471612</v>
      </c>
      <c r="AY232" s="75">
        <f t="shared" ca="1" si="254"/>
        <v>18.266307317951817</v>
      </c>
      <c r="AZ232" s="75">
        <f t="shared" ca="1" si="250"/>
        <v>12.55932145742832</v>
      </c>
      <c r="BA232" s="75">
        <f t="shared" ca="1" si="206"/>
        <v>5.7069858605234973</v>
      </c>
      <c r="BB232" s="75">
        <f t="shared" ca="1" si="207"/>
        <v>98487.650688611087</v>
      </c>
      <c r="BC232" s="12"/>
      <c r="BD232" s="12"/>
    </row>
    <row r="233" spans="3:56">
      <c r="C233" s="3">
        <f t="shared" si="231"/>
        <v>20</v>
      </c>
      <c r="D233" s="3">
        <f t="shared" si="238"/>
        <v>9</v>
      </c>
      <c r="E233" s="1">
        <f t="shared" si="239"/>
        <v>2038</v>
      </c>
      <c r="F233" s="3">
        <f t="shared" si="232"/>
        <v>76</v>
      </c>
      <c r="G233" s="3">
        <f t="shared" si="240"/>
        <v>229</v>
      </c>
      <c r="H233" s="4">
        <f t="shared" si="255"/>
        <v>71126.779649323231</v>
      </c>
      <c r="L233" s="25" t="str">
        <f t="shared" ca="1" si="233"/>
        <v/>
      </c>
      <c r="M233" s="4">
        <f t="shared" si="234"/>
        <v>71126.779649323231</v>
      </c>
      <c r="N233" s="5">
        <f t="shared" si="210"/>
        <v>2.18E-2</v>
      </c>
      <c r="O233" s="6">
        <f t="shared" si="235"/>
        <v>5.0499999999999996E-2</v>
      </c>
      <c r="P233" s="4">
        <f t="shared" si="229"/>
        <v>299.32519769090192</v>
      </c>
      <c r="Q233" s="7">
        <f t="shared" si="236"/>
        <v>1147.1423660440551</v>
      </c>
      <c r="R233" s="4">
        <f t="shared" si="241"/>
        <v>847.81716835315319</v>
      </c>
      <c r="S233" s="4">
        <f t="shared" si="230"/>
        <v>70278.962480970076</v>
      </c>
      <c r="T233" s="4">
        <f t="shared" si="242"/>
        <v>0</v>
      </c>
      <c r="U233" s="4">
        <f t="shared" si="237"/>
        <v>70278.962480970076</v>
      </c>
      <c r="AE233" s="91" t="str">
        <f t="shared" ca="1" si="256"/>
        <v/>
      </c>
      <c r="AF233" s="70">
        <f t="shared" si="251"/>
        <v>45071</v>
      </c>
      <c r="AG233" s="10">
        <f t="shared" si="228"/>
        <v>45071</v>
      </c>
      <c r="AH233" s="29">
        <f ca="1">IF(AG233=TODAY()-1,Loan!F203,IF(AG233&gt;$AB$13,$AB$55,AH232-AI233*AF232+AI233*AF233))</f>
        <v>2.5401060070671111E-2</v>
      </c>
      <c r="AI233" s="87">
        <f t="shared" ca="1" si="222"/>
        <v>5.8303886925806609E-5</v>
      </c>
      <c r="AJ233" s="76" t="str">
        <f t="shared" ca="1" si="244"/>
        <v/>
      </c>
      <c r="AK233" s="76" t="str">
        <f t="shared" ca="1" si="253"/>
        <v/>
      </c>
      <c r="AL233" s="76" t="str">
        <f t="shared" ca="1" si="223"/>
        <v/>
      </c>
      <c r="AM233" s="11">
        <f t="shared" ca="1" si="245"/>
        <v>254.0106007067111</v>
      </c>
      <c r="AN233" s="11">
        <f t="shared" ca="1" si="246"/>
        <v>641.32439824082985</v>
      </c>
      <c r="AO233" s="11">
        <f t="shared" ca="1" si="215"/>
        <v>129.73831076811871</v>
      </c>
      <c r="AP233" s="12">
        <f t="shared" ca="1" si="216"/>
        <v>0.25360015439246902</v>
      </c>
      <c r="AQ233" s="11">
        <f t="shared" ca="1" si="247"/>
        <v>564.95909406829492</v>
      </c>
      <c r="AR233" s="11">
        <f t="shared" ca="1" si="217"/>
        <v>135.23836799927091</v>
      </c>
      <c r="AS233" s="12">
        <f t="shared" ca="1" si="218"/>
        <v>0.31471223004856463</v>
      </c>
      <c r="AT233" s="11">
        <f t="shared" ca="1" si="248"/>
        <v>516.24268193315288</v>
      </c>
      <c r="AU233" s="11">
        <f t="shared" ca="1" si="219"/>
        <v>140.59355822103282</v>
      </c>
      <c r="AV233" s="12">
        <f t="shared" ca="1" si="220"/>
        <v>0.3742682981174133</v>
      </c>
      <c r="AW233" s="10">
        <f t="shared" si="249"/>
        <v>45071</v>
      </c>
      <c r="AX233" s="76">
        <f t="shared" ref="AX233:AX254" ca="1" si="269">BB232</f>
        <v>98487.650688611087</v>
      </c>
      <c r="AY233" s="75">
        <f t="shared" ca="1" si="254"/>
        <v>18.276036519127278</v>
      </c>
      <c r="AZ233" s="75">
        <f t="shared" ca="1" si="250"/>
        <v>12.574325824545859</v>
      </c>
      <c r="BA233" s="75">
        <f t="shared" ref="BA233:BA254" ca="1" si="270">AY233-AZ233</f>
        <v>5.7017106945814184</v>
      </c>
      <c r="BB233" s="75">
        <f t="shared" ref="BB233:BB254" ca="1" si="271">AX233-BA233</f>
        <v>98481.948977916501</v>
      </c>
      <c r="BC233" s="12"/>
      <c r="BD233" s="12"/>
    </row>
    <row r="234" spans="3:56">
      <c r="C234" s="3">
        <f t="shared" si="231"/>
        <v>20</v>
      </c>
      <c r="D234" s="3">
        <f t="shared" si="238"/>
        <v>10</v>
      </c>
      <c r="E234" s="1">
        <f t="shared" si="239"/>
        <v>2038</v>
      </c>
      <c r="F234" s="3">
        <f t="shared" si="232"/>
        <v>76</v>
      </c>
      <c r="G234" s="3">
        <f t="shared" si="240"/>
        <v>230</v>
      </c>
      <c r="H234" s="4">
        <f t="shared" si="255"/>
        <v>70278.962480970076</v>
      </c>
      <c r="L234" s="25" t="str">
        <f t="shared" ca="1" si="233"/>
        <v/>
      </c>
      <c r="M234" s="4">
        <f t="shared" si="234"/>
        <v>70278.962480970076</v>
      </c>
      <c r="N234" s="5">
        <f t="shared" si="210"/>
        <v>2.18E-2</v>
      </c>
      <c r="O234" s="6">
        <f t="shared" si="235"/>
        <v>5.0499999999999996E-2</v>
      </c>
      <c r="P234" s="4">
        <f t="shared" si="229"/>
        <v>295.75730044074902</v>
      </c>
      <c r="Q234" s="7">
        <f t="shared" si="236"/>
        <v>1147.1423660440551</v>
      </c>
      <c r="R234" s="4">
        <f t="shared" si="241"/>
        <v>851.38506560330597</v>
      </c>
      <c r="S234" s="4">
        <f t="shared" si="230"/>
        <v>69427.577415366773</v>
      </c>
      <c r="T234" s="4">
        <f t="shared" si="242"/>
        <v>0</v>
      </c>
      <c r="U234" s="4">
        <f t="shared" si="237"/>
        <v>69427.577415366773</v>
      </c>
      <c r="AE234" s="91" t="str">
        <f t="shared" ca="1" si="256"/>
        <v/>
      </c>
      <c r="AF234" s="70">
        <f t="shared" si="251"/>
        <v>45072</v>
      </c>
      <c r="AG234" s="10">
        <f t="shared" si="228"/>
        <v>45072</v>
      </c>
      <c r="AH234" s="29">
        <f ca="1">IF(AG234=TODAY()-1,Loan!F204,IF(AG234&gt;$AB$13,$AB$55,AH233-AI234*AF233+AI234*AF234))</f>
        <v>2.5459363957596626E-2</v>
      </c>
      <c r="AI234" s="87">
        <f t="shared" ca="1" si="222"/>
        <v>5.8303886925802381E-5</v>
      </c>
      <c r="AJ234" s="76" t="str">
        <f t="shared" ca="1" si="244"/>
        <v/>
      </c>
      <c r="AK234" s="76" t="str">
        <f t="shared" ca="1" si="253"/>
        <v/>
      </c>
      <c r="AL234" s="76" t="str">
        <f t="shared" ca="1" si="223"/>
        <v/>
      </c>
      <c r="AM234" s="11">
        <f t="shared" ca="1" si="245"/>
        <v>254.59363957596625</v>
      </c>
      <c r="AN234" s="11">
        <f t="shared" ca="1" si="246"/>
        <v>641.64153451652874</v>
      </c>
      <c r="AO234" s="11">
        <f t="shared" ca="1" si="215"/>
        <v>130.05544704381759</v>
      </c>
      <c r="AP234" s="12">
        <f t="shared" ca="1" si="216"/>
        <v>0.25422006232871797</v>
      </c>
      <c r="AQ234" s="11">
        <f t="shared" ca="1" si="247"/>
        <v>565.2929126238206</v>
      </c>
      <c r="AR234" s="11">
        <f t="shared" ca="1" si="217"/>
        <v>135.57218655479659</v>
      </c>
      <c r="AS234" s="12">
        <f t="shared" ca="1" si="218"/>
        <v>0.31548905679969524</v>
      </c>
      <c r="AT234" s="11">
        <f t="shared" ca="1" si="248"/>
        <v>516.59238336605574</v>
      </c>
      <c r="AU234" s="11">
        <f t="shared" ca="1" si="219"/>
        <v>140.94325965393568</v>
      </c>
      <c r="AV234" s="12">
        <f t="shared" ca="1" si="220"/>
        <v>0.3751992238425878</v>
      </c>
      <c r="AW234" s="10">
        <f t="shared" si="249"/>
        <v>45072</v>
      </c>
      <c r="AX234" s="76">
        <f t="shared" ca="1" si="269"/>
        <v>98481.948977916501</v>
      </c>
      <c r="AY234" s="75">
        <f t="shared" ca="1" si="254"/>
        <v>18.285768791009374</v>
      </c>
      <c r="AZ234" s="75">
        <f t="shared" ca="1" si="250"/>
        <v>12.589329042778267</v>
      </c>
      <c r="BA234" s="75">
        <f t="shared" ca="1" si="270"/>
        <v>5.6964397482311071</v>
      </c>
      <c r="BB234" s="75">
        <f t="shared" ca="1" si="271"/>
        <v>98476.252538168264</v>
      </c>
      <c r="BC234" s="12"/>
      <c r="BD234" s="12"/>
    </row>
    <row r="235" spans="3:56">
      <c r="C235" s="3">
        <f t="shared" si="231"/>
        <v>20</v>
      </c>
      <c r="D235" s="3">
        <f t="shared" si="238"/>
        <v>11</v>
      </c>
      <c r="E235" s="1">
        <f t="shared" si="239"/>
        <v>2038</v>
      </c>
      <c r="F235" s="3">
        <f t="shared" si="232"/>
        <v>76</v>
      </c>
      <c r="G235" s="3">
        <f t="shared" si="240"/>
        <v>231</v>
      </c>
      <c r="H235" s="4">
        <f t="shared" si="255"/>
        <v>69427.577415366773</v>
      </c>
      <c r="L235" s="25" t="str">
        <f t="shared" ca="1" si="233"/>
        <v/>
      </c>
      <c r="M235" s="4">
        <f t="shared" si="234"/>
        <v>69427.577415366773</v>
      </c>
      <c r="N235" s="5">
        <f t="shared" si="210"/>
        <v>2.18E-2</v>
      </c>
      <c r="O235" s="6">
        <f t="shared" si="235"/>
        <v>5.0499999999999996E-2</v>
      </c>
      <c r="P235" s="4">
        <f t="shared" si="229"/>
        <v>292.17438828966846</v>
      </c>
      <c r="Q235" s="7">
        <f t="shared" si="236"/>
        <v>1147.1423660440551</v>
      </c>
      <c r="R235" s="4">
        <f t="shared" si="241"/>
        <v>854.96797775438654</v>
      </c>
      <c r="S235" s="4">
        <f t="shared" si="230"/>
        <v>68572.60943761238</v>
      </c>
      <c r="T235" s="4">
        <f t="shared" si="242"/>
        <v>0</v>
      </c>
      <c r="U235" s="4">
        <f t="shared" si="237"/>
        <v>68572.60943761238</v>
      </c>
      <c r="AE235" s="91" t="str">
        <f t="shared" ca="1" si="256"/>
        <v/>
      </c>
      <c r="AF235" s="70">
        <f t="shared" si="251"/>
        <v>45075</v>
      </c>
      <c r="AG235" s="10">
        <f t="shared" ref="AG235" si="272">AG234+3</f>
        <v>45075</v>
      </c>
      <c r="AH235" s="29">
        <f ca="1">IF(AG235=TODAY()-1,Loan!F205,IF(AG235&gt;$AB$13,$AB$55,AH234-AI235*AF234+AI235*AF235))</f>
        <v>2.5634275618374058E-2</v>
      </c>
      <c r="AI235" s="87">
        <f t="shared" ca="1" si="222"/>
        <v>5.83038869258106E-5</v>
      </c>
      <c r="AJ235" s="76" t="str">
        <f t="shared" ca="1" si="244"/>
        <v/>
      </c>
      <c r="AK235" s="76" t="str">
        <f t="shared" ca="1" si="253"/>
        <v/>
      </c>
      <c r="AL235" s="76" t="str">
        <f t="shared" ca="1" si="223"/>
        <v/>
      </c>
      <c r="AM235" s="11">
        <f t="shared" ca="1" si="245"/>
        <v>256.34275618374056</v>
      </c>
      <c r="AN235" s="11">
        <f t="shared" ca="1" si="246"/>
        <v>642.5934600905025</v>
      </c>
      <c r="AO235" s="11">
        <f t="shared" ca="1" si="215"/>
        <v>131.00737261779136</v>
      </c>
      <c r="AP235" s="12">
        <f t="shared" ca="1" si="216"/>
        <v>0.25608079622528734</v>
      </c>
      <c r="AQ235" s="11">
        <f t="shared" ca="1" si="247"/>
        <v>566.29498403657692</v>
      </c>
      <c r="AR235" s="11">
        <f t="shared" ca="1" si="217"/>
        <v>136.57425796755291</v>
      </c>
      <c r="AS235" s="12">
        <f t="shared" ca="1" si="218"/>
        <v>0.31782096995157649</v>
      </c>
      <c r="AT235" s="11">
        <f t="shared" ca="1" si="248"/>
        <v>517.64218497571471</v>
      </c>
      <c r="AU235" s="11">
        <f t="shared" ca="1" si="219"/>
        <v>141.99306126359465</v>
      </c>
      <c r="AV235" s="12">
        <f t="shared" ca="1" si="220"/>
        <v>0.37799385730076002</v>
      </c>
      <c r="AW235" s="10">
        <f t="shared" si="249"/>
        <v>45075</v>
      </c>
      <c r="AX235" s="76">
        <f t="shared" ca="1" si="269"/>
        <v>98476.252538168264</v>
      </c>
      <c r="AY235" s="75">
        <f t="shared" ca="1" si="254"/>
        <v>18.319214106926808</v>
      </c>
      <c r="AZ235" s="75">
        <f t="shared" ca="1" si="250"/>
        <v>12.635791652704604</v>
      </c>
      <c r="BA235" s="75">
        <f t="shared" ca="1" si="270"/>
        <v>5.6834224542222032</v>
      </c>
      <c r="BB235" s="75">
        <f t="shared" ca="1" si="271"/>
        <v>98470.569115714039</v>
      </c>
      <c r="BC235" s="12"/>
      <c r="BD235" s="12"/>
    </row>
    <row r="236" spans="3:56">
      <c r="C236" s="3">
        <f t="shared" si="231"/>
        <v>20</v>
      </c>
      <c r="D236" s="3">
        <f t="shared" si="238"/>
        <v>12</v>
      </c>
      <c r="E236" s="1">
        <f t="shared" si="239"/>
        <v>2038</v>
      </c>
      <c r="F236" s="3">
        <f t="shared" si="232"/>
        <v>76</v>
      </c>
      <c r="G236" s="3">
        <f t="shared" si="240"/>
        <v>232</v>
      </c>
      <c r="H236" s="4">
        <f t="shared" si="255"/>
        <v>68572.60943761238</v>
      </c>
      <c r="L236" s="25" t="str">
        <f t="shared" ca="1" si="233"/>
        <v/>
      </c>
      <c r="M236" s="4">
        <f t="shared" si="234"/>
        <v>68572.60943761238</v>
      </c>
      <c r="N236" s="5">
        <f t="shared" si="210"/>
        <v>2.18E-2</v>
      </c>
      <c r="O236" s="6">
        <f t="shared" si="235"/>
        <v>5.0499999999999996E-2</v>
      </c>
      <c r="P236" s="4">
        <f t="shared" si="229"/>
        <v>288.57639804995205</v>
      </c>
      <c r="Q236" s="7">
        <f t="shared" si="236"/>
        <v>1147.1423660440551</v>
      </c>
      <c r="R236" s="4">
        <f t="shared" si="241"/>
        <v>858.56596799410295</v>
      </c>
      <c r="S236" s="4">
        <f t="shared" si="230"/>
        <v>67714.043469618278</v>
      </c>
      <c r="T236" s="4">
        <f t="shared" si="242"/>
        <v>0</v>
      </c>
      <c r="U236" s="4">
        <f t="shared" si="237"/>
        <v>67714.043469618278</v>
      </c>
      <c r="AE236" s="91" t="str">
        <f t="shared" ca="1" si="256"/>
        <v/>
      </c>
      <c r="AF236" s="70">
        <f t="shared" si="251"/>
        <v>45076</v>
      </c>
      <c r="AG236" s="10">
        <f t="shared" ref="AG236" si="273">AG235+1</f>
        <v>45076</v>
      </c>
      <c r="AH236" s="29">
        <f ca="1">IF(AG236=TODAY()-1,Loan!F206,IF(AG236&gt;$AB$13,$AB$55,AH235-AI236*AF235+AI236*AF236))</f>
        <v>2.5692579505299573E-2</v>
      </c>
      <c r="AI236" s="87">
        <f t="shared" ca="1" si="222"/>
        <v>5.8303886925810573E-5</v>
      </c>
      <c r="AJ236" s="76" t="str">
        <f t="shared" ca="1" si="244"/>
        <v/>
      </c>
      <c r="AK236" s="76" t="str">
        <f t="shared" ca="1" si="253"/>
        <v/>
      </c>
      <c r="AL236" s="76" t="str">
        <f t="shared" ca="1" si="223"/>
        <v/>
      </c>
      <c r="AM236" s="11">
        <f t="shared" ca="1" si="245"/>
        <v>256.92579505299574</v>
      </c>
      <c r="AN236" s="11">
        <f t="shared" ca="1" si="246"/>
        <v>642.91094080080393</v>
      </c>
      <c r="AO236" s="11">
        <f t="shared" ca="1" si="215"/>
        <v>131.32485332809279</v>
      </c>
      <c r="AP236" s="12">
        <f t="shared" ca="1" si="216"/>
        <v>0.25670137742965471</v>
      </c>
      <c r="AQ236" s="11">
        <f t="shared" ca="1" si="247"/>
        <v>566.62921297412527</v>
      </c>
      <c r="AR236" s="11">
        <f t="shared" ca="1" si="217"/>
        <v>136.90848690510126</v>
      </c>
      <c r="AS236" s="12">
        <f t="shared" ca="1" si="218"/>
        <v>0.31859875169974999</v>
      </c>
      <c r="AT236" s="11">
        <f t="shared" ca="1" si="248"/>
        <v>517.99235109760525</v>
      </c>
      <c r="AU236" s="11">
        <f t="shared" ca="1" si="219"/>
        <v>142.34322738548519</v>
      </c>
      <c r="AV236" s="12">
        <f t="shared" ca="1" si="220"/>
        <v>0.37892602005527476</v>
      </c>
      <c r="AW236" s="10">
        <f t="shared" si="249"/>
        <v>45076</v>
      </c>
      <c r="AX236" s="76">
        <f t="shared" ca="1" si="269"/>
        <v>98470.569115714039</v>
      </c>
      <c r="AY236" s="75">
        <f t="shared" ca="1" si="254"/>
        <v>18.326845500867726</v>
      </c>
      <c r="AZ236" s="75">
        <f t="shared" ca="1" si="250"/>
        <v>12.650791756686898</v>
      </c>
      <c r="BA236" s="75">
        <f t="shared" ca="1" si="270"/>
        <v>5.6760537441808285</v>
      </c>
      <c r="BB236" s="75">
        <f t="shared" ca="1" si="271"/>
        <v>98464.893061969851</v>
      </c>
      <c r="BC236" s="12"/>
      <c r="BD236" s="12"/>
    </row>
    <row r="237" spans="3:56">
      <c r="C237" s="3">
        <f t="shared" si="231"/>
        <v>20</v>
      </c>
      <c r="D237" s="3">
        <f t="shared" si="238"/>
        <v>1</v>
      </c>
      <c r="E237" s="1">
        <f t="shared" si="239"/>
        <v>2039</v>
      </c>
      <c r="F237" s="3">
        <f t="shared" si="232"/>
        <v>76</v>
      </c>
      <c r="G237" s="3">
        <f t="shared" si="240"/>
        <v>233</v>
      </c>
      <c r="H237" s="4">
        <f t="shared" si="255"/>
        <v>67714.043469618278</v>
      </c>
      <c r="L237" s="25" t="str">
        <f t="shared" ca="1" si="233"/>
        <v/>
      </c>
      <c r="M237" s="4">
        <f t="shared" si="234"/>
        <v>67714.043469618278</v>
      </c>
      <c r="N237" s="5">
        <f t="shared" ref="N237:N299" si="274">N236</f>
        <v>2.18E-2</v>
      </c>
      <c r="O237" s="6">
        <f t="shared" si="235"/>
        <v>5.0499999999999996E-2</v>
      </c>
      <c r="P237" s="4">
        <f t="shared" si="229"/>
        <v>284.96326626797691</v>
      </c>
      <c r="Q237" s="7">
        <f t="shared" si="236"/>
        <v>1147.1423660440555</v>
      </c>
      <c r="R237" s="4">
        <f t="shared" si="241"/>
        <v>862.1790997760786</v>
      </c>
      <c r="S237" s="4">
        <f t="shared" si="230"/>
        <v>66851.864369842195</v>
      </c>
      <c r="T237" s="4">
        <f t="shared" si="242"/>
        <v>0</v>
      </c>
      <c r="U237" s="4">
        <f t="shared" si="237"/>
        <v>66851.864369842195</v>
      </c>
      <c r="AE237" s="91" t="str">
        <f t="shared" ca="1" si="256"/>
        <v/>
      </c>
      <c r="AF237" s="70">
        <f t="shared" si="251"/>
        <v>45077</v>
      </c>
      <c r="AG237" s="10">
        <f t="shared" si="228"/>
        <v>45077</v>
      </c>
      <c r="AH237" s="29">
        <f ca="1">IF(AG237=TODAY()-1,Loan!F207,IF(AG237&gt;$AB$13,$AB$55,AH236-AI237*AF236+AI237*AF237))</f>
        <v>2.5750883392225088E-2</v>
      </c>
      <c r="AI237" s="87">
        <f t="shared" ca="1" si="222"/>
        <v>5.8303886925820114E-5</v>
      </c>
      <c r="AJ237" s="76" t="str">
        <f t="shared" ca="1" si="244"/>
        <v/>
      </c>
      <c r="AK237" s="76" t="str">
        <f t="shared" ca="1" si="253"/>
        <v/>
      </c>
      <c r="AL237" s="76" t="str">
        <f t="shared" ca="1" si="223"/>
        <v/>
      </c>
      <c r="AM237" s="11">
        <f t="shared" ca="1" si="245"/>
        <v>257.50883392225086</v>
      </c>
      <c r="AN237" s="11">
        <f t="shared" ca="1" si="246"/>
        <v>643.22850757225535</v>
      </c>
      <c r="AO237" s="11">
        <f t="shared" ca="1" si="215"/>
        <v>131.64242009954421</v>
      </c>
      <c r="AP237" s="12">
        <f t="shared" ca="1" si="216"/>
        <v>0.25732212685820199</v>
      </c>
      <c r="AQ237" s="11">
        <f t="shared" ca="1" si="247"/>
        <v>566.9635444205602</v>
      </c>
      <c r="AR237" s="11">
        <f t="shared" ca="1" si="217"/>
        <v>137.24281835153619</v>
      </c>
      <c r="AS237" s="12">
        <f t="shared" ca="1" si="218"/>
        <v>0.31937677199561354</v>
      </c>
      <c r="AT237" s="11">
        <f t="shared" ca="1" si="248"/>
        <v>518.34263325293693</v>
      </c>
      <c r="AU237" s="11">
        <f t="shared" ca="1" si="219"/>
        <v>142.69350954081688</v>
      </c>
      <c r="AV237" s="12">
        <f t="shared" ca="1" si="220"/>
        <v>0.37985849169761543</v>
      </c>
      <c r="AW237" s="10">
        <f t="shared" si="249"/>
        <v>45077</v>
      </c>
      <c r="AX237" s="76">
        <f t="shared" ca="1" si="269"/>
        <v>98464.893061969851</v>
      </c>
      <c r="AY237" s="75">
        <f t="shared" ca="1" si="254"/>
        <v>18.336594241379412</v>
      </c>
      <c r="AZ237" s="75">
        <f t="shared" ca="1" si="250"/>
        <v>12.665790992823178</v>
      </c>
      <c r="BA237" s="75">
        <f t="shared" ca="1" si="270"/>
        <v>5.6708032485562345</v>
      </c>
      <c r="BB237" s="75">
        <f t="shared" ca="1" si="271"/>
        <v>98459.222258721289</v>
      </c>
      <c r="BC237" s="12"/>
      <c r="BD237" s="12"/>
    </row>
    <row r="238" spans="3:56">
      <c r="C238" s="3">
        <f t="shared" si="231"/>
        <v>20</v>
      </c>
      <c r="D238" s="3">
        <f t="shared" si="238"/>
        <v>2</v>
      </c>
      <c r="E238" s="1">
        <f t="shared" si="239"/>
        <v>2039</v>
      </c>
      <c r="F238" s="3">
        <f t="shared" si="232"/>
        <v>77</v>
      </c>
      <c r="G238" s="3">
        <f t="shared" si="240"/>
        <v>234</v>
      </c>
      <c r="H238" s="4">
        <f t="shared" si="255"/>
        <v>66851.864369842195</v>
      </c>
      <c r="L238" s="25" t="str">
        <f t="shared" ca="1" si="233"/>
        <v/>
      </c>
      <c r="M238" s="4">
        <f t="shared" si="234"/>
        <v>66851.864369842195</v>
      </c>
      <c r="N238" s="5">
        <f t="shared" si="274"/>
        <v>2.18E-2</v>
      </c>
      <c r="O238" s="6">
        <f t="shared" si="235"/>
        <v>5.0499999999999996E-2</v>
      </c>
      <c r="P238" s="4">
        <f t="shared" si="229"/>
        <v>281.33492922308591</v>
      </c>
      <c r="Q238" s="7">
        <f t="shared" si="236"/>
        <v>1147.1423660440564</v>
      </c>
      <c r="R238" s="4">
        <f t="shared" si="241"/>
        <v>865.80743682097045</v>
      </c>
      <c r="S238" s="4">
        <f t="shared" si="230"/>
        <v>65986.056933021231</v>
      </c>
      <c r="T238" s="4">
        <f t="shared" si="242"/>
        <v>0</v>
      </c>
      <c r="U238" s="4">
        <f t="shared" si="237"/>
        <v>65986.056933021231</v>
      </c>
      <c r="AE238" s="91" t="str">
        <f t="shared" ca="1" si="256"/>
        <v/>
      </c>
      <c r="AF238" s="70">
        <f t="shared" si="251"/>
        <v>45078</v>
      </c>
      <c r="AG238" s="10">
        <f t="shared" si="228"/>
        <v>45078</v>
      </c>
      <c r="AH238" s="29">
        <f ca="1">IF(AG238=TODAY()-1,Loan!F208,IF(AG238&gt;$AB$13,$AB$55,AH237-AI238*AF237+AI238*AF238))</f>
        <v>2.5809187279150603E-2</v>
      </c>
      <c r="AI238" s="87">
        <f t="shared" ca="1" si="222"/>
        <v>5.8303886925830292E-5</v>
      </c>
      <c r="AJ238" s="76" t="str">
        <f t="shared" ca="1" si="244"/>
        <v/>
      </c>
      <c r="AK238" s="76" t="str">
        <f t="shared" ca="1" si="253"/>
        <v/>
      </c>
      <c r="AL238" s="76" t="str">
        <f t="shared" ca="1" si="223"/>
        <v/>
      </c>
      <c r="AM238" s="11">
        <f t="shared" ca="1" si="245"/>
        <v>258.09187279150603</v>
      </c>
      <c r="AN238" s="11">
        <f t="shared" ca="1" si="246"/>
        <v>643.54616038580753</v>
      </c>
      <c r="AO238" s="11">
        <f t="shared" ca="1" si="215"/>
        <v>131.96007291309638</v>
      </c>
      <c r="AP238" s="12">
        <f t="shared" ca="1" si="216"/>
        <v>0.25794304447369348</v>
      </c>
      <c r="AQ238" s="11">
        <f t="shared" ca="1" si="247"/>
        <v>567.29797834116778</v>
      </c>
      <c r="AR238" s="11">
        <f t="shared" ca="1" si="217"/>
        <v>137.57725227214377</v>
      </c>
      <c r="AS238" s="12">
        <f t="shared" ca="1" si="218"/>
        <v>0.32015503075838464</v>
      </c>
      <c r="AT238" s="11">
        <f t="shared" ca="1" si="248"/>
        <v>518.69303138610701</v>
      </c>
      <c r="AU238" s="11">
        <f t="shared" ca="1" si="219"/>
        <v>143.04390767398695</v>
      </c>
      <c r="AV238" s="12">
        <f t="shared" ca="1" si="220"/>
        <v>0.38079127207976432</v>
      </c>
      <c r="AW238" s="10">
        <f t="shared" si="249"/>
        <v>45078</v>
      </c>
      <c r="AX238" s="76">
        <f t="shared" ca="1" si="269"/>
        <v>98459.222258721289</v>
      </c>
      <c r="AY238" s="75">
        <f t="shared" ca="1" si="254"/>
        <v>18.346346048533913</v>
      </c>
      <c r="AZ238" s="75">
        <f t="shared" ca="1" si="250"/>
        <v>12.680789091834914</v>
      </c>
      <c r="BA238" s="75">
        <f t="shared" ca="1" si="270"/>
        <v>5.6655569566989996</v>
      </c>
      <c r="BB238" s="75">
        <f t="shared" ca="1" si="271"/>
        <v>98453.556701764595</v>
      </c>
      <c r="BC238" s="12"/>
      <c r="BD238" s="12"/>
    </row>
    <row r="239" spans="3:56">
      <c r="C239" s="3">
        <f t="shared" si="231"/>
        <v>20</v>
      </c>
      <c r="D239" s="3">
        <f t="shared" si="238"/>
        <v>3</v>
      </c>
      <c r="E239" s="1">
        <f t="shared" si="239"/>
        <v>2039</v>
      </c>
      <c r="F239" s="3">
        <f t="shared" si="232"/>
        <v>77</v>
      </c>
      <c r="G239" s="3">
        <f t="shared" si="240"/>
        <v>235</v>
      </c>
      <c r="H239" s="4">
        <f t="shared" si="255"/>
        <v>65986.056933021231</v>
      </c>
      <c r="L239" s="25" t="str">
        <f t="shared" ca="1" si="233"/>
        <v/>
      </c>
      <c r="M239" s="4">
        <f t="shared" si="234"/>
        <v>65986.056933021231</v>
      </c>
      <c r="N239" s="5">
        <f t="shared" si="274"/>
        <v>2.18E-2</v>
      </c>
      <c r="O239" s="6">
        <f t="shared" si="235"/>
        <v>5.0499999999999996E-2</v>
      </c>
      <c r="P239" s="4">
        <f t="shared" si="229"/>
        <v>277.69132292646435</v>
      </c>
      <c r="Q239" s="7">
        <f t="shared" si="236"/>
        <v>1147.1423660440564</v>
      </c>
      <c r="R239" s="4">
        <f t="shared" si="241"/>
        <v>869.45104311759201</v>
      </c>
      <c r="S239" s="4">
        <f t="shared" si="230"/>
        <v>65116.605889903636</v>
      </c>
      <c r="T239" s="4">
        <f t="shared" si="242"/>
        <v>0</v>
      </c>
      <c r="U239" s="4">
        <f t="shared" si="237"/>
        <v>65116.605889903636</v>
      </c>
      <c r="AE239" s="91" t="str">
        <f t="shared" ca="1" si="256"/>
        <v/>
      </c>
      <c r="AF239" s="70">
        <f t="shared" si="251"/>
        <v>45079</v>
      </c>
      <c r="AG239" s="10">
        <f t="shared" si="228"/>
        <v>45079</v>
      </c>
      <c r="AH239" s="29">
        <f ca="1">IF(AG239=TODAY()-1,Loan!F209,IF(AG239&gt;$AB$13,$AB$55,AH238-AI239*AF238+AI239*AF239))</f>
        <v>2.5867491166076562E-2</v>
      </c>
      <c r="AI239" s="87">
        <f t="shared" ca="1" si="222"/>
        <v>5.8303886925841168E-5</v>
      </c>
      <c r="AJ239" s="76" t="str">
        <f t="shared" ca="1" si="244"/>
        <v/>
      </c>
      <c r="AK239" s="76" t="str">
        <f t="shared" ca="1" si="253"/>
        <v/>
      </c>
      <c r="AL239" s="76" t="str">
        <f t="shared" ca="1" si="223"/>
        <v/>
      </c>
      <c r="AM239" s="11">
        <f t="shared" ca="1" si="245"/>
        <v>258.67491166076559</v>
      </c>
      <c r="AN239" s="11">
        <f t="shared" ca="1" si="246"/>
        <v>643.86389922238698</v>
      </c>
      <c r="AO239" s="11">
        <f t="shared" ca="1" si="215"/>
        <v>132.27781174967583</v>
      </c>
      <c r="AP239" s="12">
        <f t="shared" ca="1" si="216"/>
        <v>0.25856413023884617</v>
      </c>
      <c r="AQ239" s="11">
        <f t="shared" ca="1" si="247"/>
        <v>567.63251470120133</v>
      </c>
      <c r="AR239" s="11">
        <f t="shared" ca="1" si="217"/>
        <v>137.91178863217732</v>
      </c>
      <c r="AS239" s="12">
        <f t="shared" ca="1" si="218"/>
        <v>0.32093352790720453</v>
      </c>
      <c r="AT239" s="11">
        <f t="shared" ca="1" si="248"/>
        <v>519.04354544147304</v>
      </c>
      <c r="AU239" s="11">
        <f t="shared" ca="1" si="219"/>
        <v>143.39442172935298</v>
      </c>
      <c r="AV239" s="12">
        <f t="shared" ca="1" si="220"/>
        <v>0.38172436105359792</v>
      </c>
      <c r="AW239" s="10">
        <f t="shared" si="249"/>
        <v>45079</v>
      </c>
      <c r="AX239" s="76">
        <f t="shared" ca="1" si="269"/>
        <v>98453.556701764595</v>
      </c>
      <c r="AY239" s="75">
        <f t="shared" ca="1" si="254"/>
        <v>18.356100921585245</v>
      </c>
      <c r="AZ239" s="75">
        <f t="shared" ca="1" si="250"/>
        <v>12.695786055696228</v>
      </c>
      <c r="BA239" s="75">
        <f t="shared" ca="1" si="270"/>
        <v>5.660314865889017</v>
      </c>
      <c r="BB239" s="75">
        <f t="shared" ca="1" si="271"/>
        <v>98447.896386898705</v>
      </c>
      <c r="BC239" s="12"/>
      <c r="BD239" s="12"/>
    </row>
    <row r="240" spans="3:56">
      <c r="C240" s="3">
        <f t="shared" si="231"/>
        <v>20</v>
      </c>
      <c r="D240" s="3">
        <f t="shared" si="238"/>
        <v>4</v>
      </c>
      <c r="E240" s="1">
        <f t="shared" si="239"/>
        <v>2039</v>
      </c>
      <c r="F240" s="3">
        <f t="shared" si="232"/>
        <v>77</v>
      </c>
      <c r="G240" s="3">
        <f t="shared" si="240"/>
        <v>236</v>
      </c>
      <c r="H240" s="4">
        <f t="shared" si="255"/>
        <v>65116.605889903636</v>
      </c>
      <c r="L240" s="25" t="str">
        <f t="shared" ca="1" si="233"/>
        <v/>
      </c>
      <c r="M240" s="4">
        <f t="shared" si="234"/>
        <v>65116.605889903636</v>
      </c>
      <c r="N240" s="5">
        <f t="shared" si="274"/>
        <v>2.18E-2</v>
      </c>
      <c r="O240" s="6">
        <f t="shared" si="235"/>
        <v>5.0499999999999996E-2</v>
      </c>
      <c r="P240" s="4">
        <f t="shared" si="229"/>
        <v>274.0323831200111</v>
      </c>
      <c r="Q240" s="7">
        <f t="shared" si="236"/>
        <v>1147.1423660440566</v>
      </c>
      <c r="R240" s="4">
        <f t="shared" si="241"/>
        <v>873.10998292404554</v>
      </c>
      <c r="S240" s="4">
        <f t="shared" si="230"/>
        <v>64243.495906979588</v>
      </c>
      <c r="T240" s="4">
        <f t="shared" si="242"/>
        <v>0</v>
      </c>
      <c r="U240" s="4">
        <f t="shared" si="237"/>
        <v>64243.495906979588</v>
      </c>
      <c r="AE240" s="91" t="str">
        <f t="shared" ca="1" si="256"/>
        <v/>
      </c>
      <c r="AF240" s="70">
        <f t="shared" si="251"/>
        <v>45082</v>
      </c>
      <c r="AG240" s="10">
        <f t="shared" ref="AG240" si="275">AG239+3</f>
        <v>45082</v>
      </c>
      <c r="AH240" s="29">
        <f ca="1">IF(AG240=TODAY()-1,Loan!F210,IF(AG240&gt;$AB$13,$AB$55,AH239-AI240*AF239+AI240*AF240))</f>
        <v>2.6042402826854438E-2</v>
      </c>
      <c r="AI240" s="87">
        <f t="shared" ca="1" si="222"/>
        <v>5.8303886925836967E-5</v>
      </c>
      <c r="AJ240" s="76" t="str">
        <f t="shared" ca="1" si="244"/>
        <v/>
      </c>
      <c r="AK240" s="76" t="str">
        <f t="shared" ca="1" si="253"/>
        <v/>
      </c>
      <c r="AL240" s="76" t="str">
        <f t="shared" ca="1" si="223"/>
        <v/>
      </c>
      <c r="AM240" s="11">
        <f t="shared" ca="1" si="245"/>
        <v>260.42402826854436</v>
      </c>
      <c r="AN240" s="11">
        <f t="shared" ca="1" si="246"/>
        <v>644.81763167946531</v>
      </c>
      <c r="AO240" s="11">
        <f t="shared" ca="1" si="215"/>
        <v>133.23154420675417</v>
      </c>
      <c r="AP240" s="12">
        <f t="shared" ca="1" si="216"/>
        <v>0.26042839605926726</v>
      </c>
      <c r="AQ240" s="11">
        <f t="shared" ca="1" si="247"/>
        <v>568.63673807009866</v>
      </c>
      <c r="AR240" s="11">
        <f t="shared" ca="1" si="217"/>
        <v>138.91601200107465</v>
      </c>
      <c r="AS240" s="12">
        <f t="shared" ca="1" si="218"/>
        <v>0.32327044886068917</v>
      </c>
      <c r="AT240" s="11">
        <f t="shared" ca="1" si="248"/>
        <v>520.09578258387876</v>
      </c>
      <c r="AU240" s="11">
        <f t="shared" ca="1" si="219"/>
        <v>144.4466588717587</v>
      </c>
      <c r="AV240" s="12">
        <f t="shared" ca="1" si="220"/>
        <v>0.38452547804279152</v>
      </c>
      <c r="AW240" s="10">
        <f t="shared" si="249"/>
        <v>45082</v>
      </c>
      <c r="AX240" s="76">
        <f t="shared" ca="1" si="269"/>
        <v>98447.896386898705</v>
      </c>
      <c r="AY240" s="75">
        <f t="shared" ca="1" si="254"/>
        <v>18.38960454582967</v>
      </c>
      <c r="AZ240" s="75">
        <f t="shared" ca="1" si="250"/>
        <v>12.742233365935059</v>
      </c>
      <c r="BA240" s="75">
        <f t="shared" ca="1" si="270"/>
        <v>5.6473711798946109</v>
      </c>
      <c r="BB240" s="75">
        <f t="shared" ca="1" si="271"/>
        <v>98442.249015718815</v>
      </c>
      <c r="BC240" s="12"/>
      <c r="BD240" s="12"/>
    </row>
    <row r="241" spans="3:56">
      <c r="C241" s="3">
        <f t="shared" si="231"/>
        <v>20</v>
      </c>
      <c r="D241" s="3">
        <f t="shared" si="238"/>
        <v>5</v>
      </c>
      <c r="E241" s="1">
        <f t="shared" si="239"/>
        <v>2039</v>
      </c>
      <c r="F241" s="3">
        <f t="shared" si="232"/>
        <v>77</v>
      </c>
      <c r="G241" s="3">
        <f t="shared" si="240"/>
        <v>237</v>
      </c>
      <c r="H241" s="4">
        <f t="shared" si="255"/>
        <v>64243.495906979588</v>
      </c>
      <c r="L241" s="25" t="str">
        <f t="shared" ca="1" si="233"/>
        <v/>
      </c>
      <c r="M241" s="4">
        <f t="shared" si="234"/>
        <v>64243.495906979588</v>
      </c>
      <c r="N241" s="5">
        <f t="shared" si="274"/>
        <v>2.18E-2</v>
      </c>
      <c r="O241" s="6">
        <f t="shared" si="235"/>
        <v>5.0499999999999996E-2</v>
      </c>
      <c r="P241" s="4">
        <f t="shared" si="229"/>
        <v>270.35804527520571</v>
      </c>
      <c r="Q241" s="7">
        <f t="shared" si="236"/>
        <v>1147.1423660440564</v>
      </c>
      <c r="R241" s="4">
        <f t="shared" si="241"/>
        <v>876.78432076885065</v>
      </c>
      <c r="S241" s="4">
        <f t="shared" si="230"/>
        <v>63366.711586210738</v>
      </c>
      <c r="T241" s="4">
        <f t="shared" si="242"/>
        <v>0</v>
      </c>
      <c r="U241" s="4">
        <f t="shared" si="237"/>
        <v>63366.711586210738</v>
      </c>
      <c r="AE241" s="91" t="str">
        <f t="shared" ca="1" si="256"/>
        <v/>
      </c>
      <c r="AF241" s="70">
        <f t="shared" si="251"/>
        <v>45083</v>
      </c>
      <c r="AG241" s="10">
        <f t="shared" ref="AG241" si="276">AG240+1</f>
        <v>45083</v>
      </c>
      <c r="AH241" s="29">
        <f ca="1">IF(AG241=TODAY()-1,Loan!F211,IF(AG241&gt;$AB$13,$AB$55,AH240-AI241*AF240+AI241*AF241))</f>
        <v>2.6100706713779953E-2</v>
      </c>
      <c r="AI241" s="87">
        <f t="shared" ca="1" si="222"/>
        <v>5.8303886925822337E-5</v>
      </c>
      <c r="AJ241" s="76" t="str">
        <f t="shared" ca="1" si="244"/>
        <v/>
      </c>
      <c r="AK241" s="76" t="str">
        <f t="shared" ca="1" si="253"/>
        <v/>
      </c>
      <c r="AL241" s="76" t="str">
        <f t="shared" ca="1" si="223"/>
        <v/>
      </c>
      <c r="AM241" s="11">
        <f t="shared" ca="1" si="245"/>
        <v>261.00706713779954</v>
      </c>
      <c r="AN241" s="11">
        <f t="shared" ca="1" si="246"/>
        <v>645.13571441725162</v>
      </c>
      <c r="AO241" s="11">
        <f t="shared" ca="1" si="215"/>
        <v>133.54962694454048</v>
      </c>
      <c r="AP241" s="12">
        <f t="shared" ca="1" si="216"/>
        <v>0.26105015404990706</v>
      </c>
      <c r="AQ241" s="11">
        <f t="shared" ca="1" si="247"/>
        <v>568.97168383994597</v>
      </c>
      <c r="AR241" s="11">
        <f t="shared" ca="1" si="217"/>
        <v>139.25095777092196</v>
      </c>
      <c r="AS241" s="12">
        <f t="shared" ca="1" si="218"/>
        <v>0.32404989874413165</v>
      </c>
      <c r="AT241" s="11">
        <f t="shared" ca="1" si="248"/>
        <v>520.44675977098791</v>
      </c>
      <c r="AU241" s="11">
        <f t="shared" ca="1" si="219"/>
        <v>144.79763605886785</v>
      </c>
      <c r="AV241" s="12">
        <f t="shared" ca="1" si="220"/>
        <v>0.38545979990048906</v>
      </c>
      <c r="AW241" s="10">
        <f t="shared" si="249"/>
        <v>45083</v>
      </c>
      <c r="AX241" s="76">
        <f t="shared" ca="1" si="269"/>
        <v>98442.249015718815</v>
      </c>
      <c r="AY241" s="75">
        <f t="shared" ca="1" si="254"/>
        <v>18.397263249218412</v>
      </c>
      <c r="AZ241" s="75">
        <f t="shared" ca="1" si="250"/>
        <v>12.757227257362766</v>
      </c>
      <c r="BA241" s="75">
        <f t="shared" ca="1" si="270"/>
        <v>5.6400359918556457</v>
      </c>
      <c r="BB241" s="75">
        <f t="shared" ca="1" si="271"/>
        <v>98436.608979726952</v>
      </c>
      <c r="BC241" s="12"/>
      <c r="BD241" s="12"/>
    </row>
    <row r="242" spans="3:56">
      <c r="C242" s="3">
        <f t="shared" si="231"/>
        <v>20</v>
      </c>
      <c r="D242" s="3">
        <f t="shared" si="238"/>
        <v>6</v>
      </c>
      <c r="E242" s="1">
        <f t="shared" si="239"/>
        <v>2039</v>
      </c>
      <c r="F242" s="3">
        <f t="shared" si="232"/>
        <v>77</v>
      </c>
      <c r="G242" s="3">
        <f t="shared" si="240"/>
        <v>238</v>
      </c>
      <c r="H242" s="4">
        <f t="shared" si="255"/>
        <v>63366.711586210738</v>
      </c>
      <c r="L242" s="25" t="str">
        <f t="shared" ca="1" si="233"/>
        <v/>
      </c>
      <c r="M242" s="4">
        <f t="shared" si="234"/>
        <v>63366.711586210738</v>
      </c>
      <c r="N242" s="5">
        <f t="shared" si="274"/>
        <v>2.18E-2</v>
      </c>
      <c r="O242" s="6">
        <f t="shared" si="235"/>
        <v>5.0499999999999996E-2</v>
      </c>
      <c r="P242" s="4">
        <f t="shared" si="229"/>
        <v>266.66824459197016</v>
      </c>
      <c r="Q242" s="7">
        <f t="shared" si="236"/>
        <v>1147.1423660440576</v>
      </c>
      <c r="R242" s="4">
        <f t="shared" si="241"/>
        <v>880.47412145208739</v>
      </c>
      <c r="S242" s="4">
        <f t="shared" si="230"/>
        <v>62486.237464758648</v>
      </c>
      <c r="T242" s="4">
        <f t="shared" si="242"/>
        <v>0</v>
      </c>
      <c r="U242" s="4">
        <f t="shared" si="237"/>
        <v>62486.237464758648</v>
      </c>
      <c r="AE242" s="91" t="str">
        <f t="shared" ca="1" si="256"/>
        <v/>
      </c>
      <c r="AF242" s="70">
        <f t="shared" si="251"/>
        <v>45084</v>
      </c>
      <c r="AG242" s="10">
        <f t="shared" si="228"/>
        <v>45084</v>
      </c>
      <c r="AH242" s="29">
        <f ca="1">IF(AG242=TODAY()-1,Loan!F212,IF(AG242&gt;$AB$13,$AB$55,AH241-AI242*AF241+AI242*AF242))</f>
        <v>2.6159010600705912E-2</v>
      </c>
      <c r="AI242" s="87">
        <f t="shared" ca="1" si="222"/>
        <v>5.8303886925835151E-5</v>
      </c>
      <c r="AJ242" s="76" t="str">
        <f t="shared" ca="1" si="244"/>
        <v/>
      </c>
      <c r="AK242" s="76" t="str">
        <f t="shared" ca="1" si="253"/>
        <v/>
      </c>
      <c r="AL242" s="76" t="str">
        <f t="shared" ca="1" si="223"/>
        <v/>
      </c>
      <c r="AM242" s="11">
        <f t="shared" ca="1" si="245"/>
        <v>261.59010600705915</v>
      </c>
      <c r="AN242" s="11">
        <f t="shared" ca="1" si="246"/>
        <v>645.45388308249153</v>
      </c>
      <c r="AO242" s="11">
        <f t="shared" ca="1" si="215"/>
        <v>133.86779560978039</v>
      </c>
      <c r="AP242" s="12">
        <f t="shared" ca="1" si="216"/>
        <v>0.26167208000338971</v>
      </c>
      <c r="AQ242" s="11">
        <f t="shared" ca="1" si="247"/>
        <v>569.30673187510956</v>
      </c>
      <c r="AR242" s="11">
        <f t="shared" ca="1" si="217"/>
        <v>139.58600580608555</v>
      </c>
      <c r="AS242" s="12">
        <f t="shared" ca="1" si="218"/>
        <v>0.32482958660845351</v>
      </c>
      <c r="AT242" s="11">
        <f t="shared" ca="1" si="248"/>
        <v>520.79785260157564</v>
      </c>
      <c r="AU242" s="11">
        <f t="shared" ca="1" si="219"/>
        <v>145.14872888945558</v>
      </c>
      <c r="AV242" s="12">
        <f t="shared" ca="1" si="220"/>
        <v>0.38639442960790932</v>
      </c>
      <c r="AW242" s="10">
        <f t="shared" si="249"/>
        <v>45084</v>
      </c>
      <c r="AX242" s="76">
        <f t="shared" ca="1" si="269"/>
        <v>98436.608979726952</v>
      </c>
      <c r="AY242" s="75">
        <f t="shared" ca="1" si="254"/>
        <v>18.407034562422218</v>
      </c>
      <c r="AZ242" s="75">
        <f t="shared" ca="1" si="250"/>
        <v>12.772220296351868</v>
      </c>
      <c r="BA242" s="75">
        <f t="shared" ca="1" si="270"/>
        <v>5.6348142660703502</v>
      </c>
      <c r="BB242" s="75">
        <f t="shared" ca="1" si="271"/>
        <v>98430.974165460881</v>
      </c>
      <c r="BC242" s="12"/>
      <c r="BD242" s="12"/>
    </row>
    <row r="243" spans="3:56">
      <c r="C243" s="3">
        <f t="shared" si="231"/>
        <v>20</v>
      </c>
      <c r="D243" s="3">
        <f t="shared" si="238"/>
        <v>7</v>
      </c>
      <c r="E243" s="1">
        <f t="shared" si="239"/>
        <v>2039</v>
      </c>
      <c r="F243" s="3">
        <f t="shared" si="232"/>
        <v>77</v>
      </c>
      <c r="G243" s="3">
        <f t="shared" si="240"/>
        <v>239</v>
      </c>
      <c r="H243" s="4">
        <f t="shared" si="255"/>
        <v>62486.237464758648</v>
      </c>
      <c r="L243" s="25" t="str">
        <f t="shared" ca="1" si="233"/>
        <v/>
      </c>
      <c r="M243" s="4">
        <f t="shared" si="234"/>
        <v>62486.237464758648</v>
      </c>
      <c r="N243" s="5">
        <f t="shared" si="274"/>
        <v>2.18E-2</v>
      </c>
      <c r="O243" s="6">
        <f t="shared" si="235"/>
        <v>5.0499999999999996E-2</v>
      </c>
      <c r="P243" s="4">
        <f t="shared" si="229"/>
        <v>262.96291599752595</v>
      </c>
      <c r="Q243" s="7">
        <f t="shared" si="236"/>
        <v>1147.1423660440555</v>
      </c>
      <c r="R243" s="4">
        <f t="shared" si="241"/>
        <v>884.17945004652961</v>
      </c>
      <c r="S243" s="4">
        <f t="shared" si="230"/>
        <v>61602.058014712115</v>
      </c>
      <c r="T243" s="4">
        <f t="shared" si="242"/>
        <v>0</v>
      </c>
      <c r="U243" s="4">
        <f t="shared" si="237"/>
        <v>61602.058014712115</v>
      </c>
      <c r="AE243" s="91" t="str">
        <f t="shared" ca="1" si="256"/>
        <v/>
      </c>
      <c r="AF243" s="70">
        <f t="shared" si="251"/>
        <v>45085</v>
      </c>
      <c r="AG243" s="10">
        <f t="shared" si="228"/>
        <v>45085</v>
      </c>
      <c r="AH243" s="29">
        <f ca="1">IF(AG243=TODAY()-1,Loan!F213,IF(AG243&gt;$AB$13,$AB$55,AH242-AI243*AF242+AI243*AF243))</f>
        <v>2.6217314487631427E-2</v>
      </c>
      <c r="AI243" s="87">
        <f t="shared" ca="1" si="222"/>
        <v>5.830388692582977E-5</v>
      </c>
      <c r="AJ243" s="76" t="str">
        <f t="shared" ca="1" si="244"/>
        <v/>
      </c>
      <c r="AK243" s="76" t="str">
        <f t="shared" ca="1" si="253"/>
        <v/>
      </c>
      <c r="AL243" s="76" t="str">
        <f t="shared" ca="1" si="223"/>
        <v/>
      </c>
      <c r="AM243" s="11">
        <f t="shared" ca="1" si="245"/>
        <v>262.17314487631427</v>
      </c>
      <c r="AN243" s="11">
        <f t="shared" ca="1" si="246"/>
        <v>645.77213765603403</v>
      </c>
      <c r="AO243" s="11">
        <f t="shared" ca="1" si="215"/>
        <v>134.18605018332289</v>
      </c>
      <c r="AP243" s="12">
        <f t="shared" ca="1" si="216"/>
        <v>0.26229417388228055</v>
      </c>
      <c r="AQ243" s="11">
        <f t="shared" ca="1" si="247"/>
        <v>569.64188214069588</v>
      </c>
      <c r="AR243" s="11">
        <f t="shared" ca="1" si="217"/>
        <v>139.92115607167187</v>
      </c>
      <c r="AS243" s="12">
        <f t="shared" ca="1" si="218"/>
        <v>0.32560951237245417</v>
      </c>
      <c r="AT243" s="11">
        <f t="shared" ca="1" si="248"/>
        <v>521.14906101979898</v>
      </c>
      <c r="AU243" s="11">
        <f t="shared" ca="1" si="219"/>
        <v>145.49993730767892</v>
      </c>
      <c r="AV243" s="12">
        <f t="shared" ca="1" si="220"/>
        <v>0.38732936701639498</v>
      </c>
      <c r="AW243" s="10">
        <f t="shared" si="249"/>
        <v>45085</v>
      </c>
      <c r="AX243" s="76">
        <f t="shared" ca="1" si="269"/>
        <v>98430.974165460881</v>
      </c>
      <c r="AY243" s="75">
        <f t="shared" ca="1" si="254"/>
        <v>18.416808937399317</v>
      </c>
      <c r="AZ243" s="75">
        <f t="shared" ca="1" si="250"/>
        <v>12.787212211856392</v>
      </c>
      <c r="BA243" s="75">
        <f t="shared" ca="1" si="270"/>
        <v>5.6295967255429247</v>
      </c>
      <c r="BB243" s="75">
        <f t="shared" ca="1" si="271"/>
        <v>98425.344568735338</v>
      </c>
      <c r="BC243" s="12"/>
      <c r="BD243" s="12"/>
    </row>
    <row r="244" spans="3:56">
      <c r="C244" s="3">
        <f t="shared" si="231"/>
        <v>20</v>
      </c>
      <c r="D244" s="3">
        <f t="shared" si="238"/>
        <v>8</v>
      </c>
      <c r="E244" s="1">
        <f t="shared" si="239"/>
        <v>2039</v>
      </c>
      <c r="F244" s="3">
        <f t="shared" si="232"/>
        <v>77</v>
      </c>
      <c r="G244" s="3">
        <f t="shared" si="240"/>
        <v>240</v>
      </c>
      <c r="H244" s="4">
        <f t="shared" si="255"/>
        <v>61602.058014712115</v>
      </c>
      <c r="L244" s="25" t="str">
        <f t="shared" ca="1" si="233"/>
        <v/>
      </c>
      <c r="M244" s="4">
        <f t="shared" si="234"/>
        <v>61602.058014712115</v>
      </c>
      <c r="N244" s="5">
        <f t="shared" si="274"/>
        <v>2.18E-2</v>
      </c>
      <c r="O244" s="6">
        <f t="shared" si="235"/>
        <v>5.0499999999999996E-2</v>
      </c>
      <c r="P244" s="4">
        <f t="shared" si="229"/>
        <v>259.24199414524679</v>
      </c>
      <c r="Q244" s="7">
        <f t="shared" si="236"/>
        <v>1147.1423660440562</v>
      </c>
      <c r="R244" s="4">
        <f t="shared" si="241"/>
        <v>887.90037189880945</v>
      </c>
      <c r="S244" s="4">
        <f t="shared" si="230"/>
        <v>60714.157642813305</v>
      </c>
      <c r="T244" s="4">
        <f t="shared" si="242"/>
        <v>0</v>
      </c>
      <c r="U244" s="4">
        <f t="shared" si="237"/>
        <v>60714.157642813305</v>
      </c>
      <c r="AE244" s="91" t="str">
        <f t="shared" ca="1" si="256"/>
        <v/>
      </c>
      <c r="AF244" s="70">
        <f t="shared" si="251"/>
        <v>45086</v>
      </c>
      <c r="AG244" s="10">
        <f t="shared" si="228"/>
        <v>45086</v>
      </c>
      <c r="AH244" s="29">
        <f ca="1">IF(AG244=TODAY()-1,Loan!F214,IF(AG244&gt;$AB$13,$AB$55,AH243-AI244*AF243+AI244*AF244))</f>
        <v>2.6275618374557386E-2</v>
      </c>
      <c r="AI244" s="87">
        <f t="shared" ca="1" si="222"/>
        <v>5.8303886925844082E-5</v>
      </c>
      <c r="AJ244" s="76" t="str">
        <f t="shared" ca="1" si="244"/>
        <v/>
      </c>
      <c r="AK244" s="76" t="str">
        <f t="shared" ca="1" si="253"/>
        <v/>
      </c>
      <c r="AL244" s="76" t="str">
        <f t="shared" ca="1" si="223"/>
        <v/>
      </c>
      <c r="AM244" s="11">
        <f t="shared" ca="1" si="245"/>
        <v>262.75618374557388</v>
      </c>
      <c r="AN244" s="11">
        <f t="shared" ca="1" si="246"/>
        <v>646.09047811871483</v>
      </c>
      <c r="AO244" s="11">
        <f t="shared" ca="1" si="215"/>
        <v>134.50439064600369</v>
      </c>
      <c r="AP244" s="12">
        <f t="shared" ca="1" si="216"/>
        <v>0.2629164356491191</v>
      </c>
      <c r="AQ244" s="11">
        <f t="shared" ca="1" si="247"/>
        <v>569.97713460178977</v>
      </c>
      <c r="AR244" s="11">
        <f t="shared" ca="1" si="217"/>
        <v>140.25640853276576</v>
      </c>
      <c r="AS244" s="12">
        <f t="shared" ca="1" si="218"/>
        <v>0.32638967595488294</v>
      </c>
      <c r="AT244" s="11">
        <f t="shared" ca="1" si="248"/>
        <v>521.50038496978743</v>
      </c>
      <c r="AU244" s="11">
        <f t="shared" ca="1" si="219"/>
        <v>145.85126125766737</v>
      </c>
      <c r="AV244" s="12">
        <f t="shared" ca="1" si="220"/>
        <v>0.38826461197721568</v>
      </c>
      <c r="AW244" s="10">
        <f t="shared" si="249"/>
        <v>45086</v>
      </c>
      <c r="AX244" s="76">
        <f t="shared" ca="1" si="269"/>
        <v>98425.344568735338</v>
      </c>
      <c r="AY244" s="75">
        <f t="shared" ca="1" si="254"/>
        <v>18.426586373399751</v>
      </c>
      <c r="AZ244" s="75">
        <f t="shared" ca="1" si="250"/>
        <v>12.802203005834505</v>
      </c>
      <c r="BA244" s="75">
        <f t="shared" ca="1" si="270"/>
        <v>5.6243833675652457</v>
      </c>
      <c r="BB244" s="75">
        <f t="shared" ca="1" si="271"/>
        <v>98419.720185367769</v>
      </c>
      <c r="BC244" s="12"/>
      <c r="BD244" s="12"/>
    </row>
    <row r="245" spans="3:56">
      <c r="C245" s="3">
        <f t="shared" si="231"/>
        <v>21</v>
      </c>
      <c r="D245" s="3">
        <f t="shared" si="238"/>
        <v>9</v>
      </c>
      <c r="E245" s="1">
        <f t="shared" si="239"/>
        <v>2039</v>
      </c>
      <c r="F245" s="3">
        <f t="shared" si="232"/>
        <v>77</v>
      </c>
      <c r="G245" s="3">
        <f t="shared" si="240"/>
        <v>241</v>
      </c>
      <c r="H245" s="4">
        <f t="shared" si="255"/>
        <v>60714.157642813305</v>
      </c>
      <c r="L245" s="25" t="str">
        <f t="shared" ca="1" si="233"/>
        <v/>
      </c>
      <c r="M245" s="4">
        <f t="shared" si="234"/>
        <v>60714.157642813305</v>
      </c>
      <c r="N245" s="5">
        <f t="shared" si="274"/>
        <v>2.18E-2</v>
      </c>
      <c r="O245" s="6">
        <f t="shared" si="235"/>
        <v>5.0499999999999996E-2</v>
      </c>
      <c r="P245" s="4">
        <f t="shared" si="229"/>
        <v>255.50541341350598</v>
      </c>
      <c r="Q245" s="7">
        <f t="shared" si="236"/>
        <v>1147.1423660440566</v>
      </c>
      <c r="R245" s="4">
        <f t="shared" si="241"/>
        <v>891.6369526305507</v>
      </c>
      <c r="S245" s="4">
        <f t="shared" si="230"/>
        <v>59822.520690182755</v>
      </c>
      <c r="T245" s="4">
        <f t="shared" si="242"/>
        <v>0</v>
      </c>
      <c r="U245" s="4">
        <f t="shared" si="237"/>
        <v>59822.520690182755</v>
      </c>
      <c r="AE245" s="91" t="str">
        <f t="shared" ca="1" si="256"/>
        <v/>
      </c>
      <c r="AF245" s="70">
        <f t="shared" si="251"/>
        <v>45089</v>
      </c>
      <c r="AG245" s="10">
        <f t="shared" ref="AG245" si="277">AG244+3</f>
        <v>45089</v>
      </c>
      <c r="AH245" s="29">
        <f ca="1">IF(AG245=TODAY()-1,Loan!F215,IF(AG245&gt;$AB$13,$AB$55,AH244-AI245*AF244+AI245*AF245))</f>
        <v>2.6450530035335262E-2</v>
      </c>
      <c r="AI245" s="87">
        <f t="shared" ca="1" si="222"/>
        <v>5.830388692583862E-5</v>
      </c>
      <c r="AJ245" s="76" t="str">
        <f t="shared" ca="1" si="244"/>
        <v/>
      </c>
      <c r="AK245" s="76" t="str">
        <f t="shared" ca="1" si="253"/>
        <v/>
      </c>
      <c r="AL245" s="76" t="str">
        <f t="shared" ca="1" si="223"/>
        <v/>
      </c>
      <c r="AM245" s="11">
        <f t="shared" ca="1" si="245"/>
        <v>264.5053003533526</v>
      </c>
      <c r="AN245" s="11">
        <f t="shared" ca="1" si="246"/>
        <v>647.04601464938617</v>
      </c>
      <c r="AO245" s="11">
        <f t="shared" ref="AO245:AO256" ca="1" si="278">AN245-AN$7</f>
        <v>135.45992717667502</v>
      </c>
      <c r="AP245" s="12">
        <f t="shared" ref="AP245:AP256" ca="1" si="279">AO245/AN$7</f>
        <v>0.26478422790162504</v>
      </c>
      <c r="AQ245" s="11">
        <f t="shared" ca="1" si="247"/>
        <v>570.98350480830152</v>
      </c>
      <c r="AR245" s="11">
        <f t="shared" ref="AR245:AR256" ca="1" si="280">AQ245-AQ$7</f>
        <v>141.26277873927751</v>
      </c>
      <c r="AS245" s="12">
        <f t="shared" ref="AS245:AS256" ca="1" si="281">AR245/AQ$7</f>
        <v>0.32873159279868464</v>
      </c>
      <c r="AT245" s="11">
        <f t="shared" ca="1" si="248"/>
        <v>522.55504945089604</v>
      </c>
      <c r="AU245" s="11">
        <f t="shared" ref="AU245:AU256" ca="1" si="282">AT245-AT$7</f>
        <v>146.90592573877598</v>
      </c>
      <c r="AV245" s="12">
        <f t="shared" ref="AV245:AV256" ca="1" si="283">AU245/AT$7</f>
        <v>0.3910721906844053</v>
      </c>
      <c r="AW245" s="10">
        <f t="shared" si="249"/>
        <v>45089</v>
      </c>
      <c r="AX245" s="76">
        <f t="shared" ca="1" si="269"/>
        <v>98419.720185367769</v>
      </c>
      <c r="AY245" s="75">
        <f t="shared" ca="1" si="254"/>
        <v>18.460148151289211</v>
      </c>
      <c r="AZ245" s="75">
        <f t="shared" ca="1" si="250"/>
        <v>12.848635158252492</v>
      </c>
      <c r="BA245" s="75">
        <f t="shared" ca="1" si="270"/>
        <v>5.6115129930367189</v>
      </c>
      <c r="BB245" s="75">
        <f t="shared" ca="1" si="271"/>
        <v>98414.108672374728</v>
      </c>
      <c r="BC245" s="12"/>
      <c r="BD245" s="12"/>
    </row>
    <row r="246" spans="3:56">
      <c r="C246" s="3">
        <f t="shared" si="231"/>
        <v>21</v>
      </c>
      <c r="D246" s="3">
        <f t="shared" si="238"/>
        <v>10</v>
      </c>
      <c r="E246" s="1">
        <f t="shared" si="239"/>
        <v>2039</v>
      </c>
      <c r="F246" s="3">
        <f t="shared" si="232"/>
        <v>77</v>
      </c>
      <c r="G246" s="3">
        <f t="shared" si="240"/>
        <v>242</v>
      </c>
      <c r="H246" s="4">
        <f t="shared" si="255"/>
        <v>59822.520690182755</v>
      </c>
      <c r="L246" s="25" t="str">
        <f t="shared" ca="1" si="233"/>
        <v/>
      </c>
      <c r="M246" s="4">
        <f t="shared" si="234"/>
        <v>59822.520690182755</v>
      </c>
      <c r="N246" s="5">
        <f t="shared" si="274"/>
        <v>2.18E-2</v>
      </c>
      <c r="O246" s="6">
        <f t="shared" si="235"/>
        <v>5.0499999999999996E-2</v>
      </c>
      <c r="P246" s="4">
        <f t="shared" si="229"/>
        <v>251.75310790451908</v>
      </c>
      <c r="Q246" s="7">
        <f t="shared" si="236"/>
        <v>1147.1423660440573</v>
      </c>
      <c r="R246" s="4">
        <f t="shared" si="241"/>
        <v>895.38925813953824</v>
      </c>
      <c r="S246" s="4">
        <f t="shared" si="230"/>
        <v>58927.131432043214</v>
      </c>
      <c r="T246" s="4">
        <f t="shared" si="242"/>
        <v>0</v>
      </c>
      <c r="U246" s="4">
        <f t="shared" si="237"/>
        <v>58927.131432043214</v>
      </c>
      <c r="AE246" s="91" t="str">
        <f t="shared" ca="1" si="256"/>
        <v/>
      </c>
      <c r="AF246" s="70">
        <f t="shared" si="251"/>
        <v>45090</v>
      </c>
      <c r="AG246" s="10">
        <f t="shared" ref="AG246" si="284">AG245+1</f>
        <v>45090</v>
      </c>
      <c r="AH246" s="29">
        <f ca="1">IF(AG246=TODAY()-1,Loan!F216,IF(AG246&gt;$AB$13,$AB$55,AH245-AI246*AF245+AI246*AF246))</f>
        <v>2.6508833922261221E-2</v>
      </c>
      <c r="AI246" s="87">
        <f t="shared" ca="1" si="222"/>
        <v>5.8303886925818569E-5</v>
      </c>
      <c r="AJ246" s="76" t="str">
        <f t="shared" ca="1" si="244"/>
        <v/>
      </c>
      <c r="AK246" s="76" t="str">
        <f t="shared" ca="1" si="253"/>
        <v/>
      </c>
      <c r="AL246" s="76" t="str">
        <f t="shared" ca="1" si="223"/>
        <v/>
      </c>
      <c r="AM246" s="11">
        <f t="shared" ca="1" si="245"/>
        <v>265.08833922261221</v>
      </c>
      <c r="AN246" s="11">
        <f t="shared" ca="1" si="246"/>
        <v>647.36469847636715</v>
      </c>
      <c r="AO246" s="11">
        <f t="shared" ca="1" si="278"/>
        <v>135.77861100365601</v>
      </c>
      <c r="AP246" s="12">
        <f t="shared" ca="1" si="279"/>
        <v>0.26540716084445642</v>
      </c>
      <c r="AQ246" s="11">
        <f t="shared" ca="1" si="247"/>
        <v>571.31916570150156</v>
      </c>
      <c r="AR246" s="11">
        <f t="shared" ca="1" si="280"/>
        <v>141.59843963247755</v>
      </c>
      <c r="AS246" s="12">
        <f t="shared" ca="1" si="281"/>
        <v>0.32951270684051964</v>
      </c>
      <c r="AT246" s="11">
        <f t="shared" ca="1" si="248"/>
        <v>522.90683496834572</v>
      </c>
      <c r="AU246" s="11">
        <f t="shared" ca="1" si="282"/>
        <v>147.25771125622566</v>
      </c>
      <c r="AV246" s="12">
        <f t="shared" ca="1" si="283"/>
        <v>0.39200866436487974</v>
      </c>
      <c r="AW246" s="10">
        <f t="shared" si="249"/>
        <v>45090</v>
      </c>
      <c r="AX246" s="76">
        <f t="shared" ca="1" si="269"/>
        <v>98414.108672374728</v>
      </c>
      <c r="AY246" s="75">
        <f t="shared" ca="1" si="254"/>
        <v>18.467834145522538</v>
      </c>
      <c r="AZ246" s="75">
        <f t="shared" ca="1" si="250"/>
        <v>12.863622921253958</v>
      </c>
      <c r="BA246" s="75">
        <f t="shared" ca="1" si="270"/>
        <v>5.60421122426858</v>
      </c>
      <c r="BB246" s="75">
        <f t="shared" ca="1" si="271"/>
        <v>98408.504461150456</v>
      </c>
      <c r="BC246" s="12"/>
      <c r="BD246" s="12"/>
    </row>
    <row r="247" spans="3:56">
      <c r="C247" s="3">
        <f t="shared" si="231"/>
        <v>21</v>
      </c>
      <c r="D247" s="3">
        <f t="shared" si="238"/>
        <v>11</v>
      </c>
      <c r="E247" s="1">
        <f t="shared" si="239"/>
        <v>2039</v>
      </c>
      <c r="F247" s="3">
        <f t="shared" si="232"/>
        <v>77</v>
      </c>
      <c r="G247" s="3">
        <f t="shared" si="240"/>
        <v>243</v>
      </c>
      <c r="H247" s="4">
        <f t="shared" si="255"/>
        <v>58927.131432043214</v>
      </c>
      <c r="L247" s="25" t="str">
        <f t="shared" ca="1" si="233"/>
        <v/>
      </c>
      <c r="M247" s="4">
        <f t="shared" si="234"/>
        <v>58927.131432043214</v>
      </c>
      <c r="N247" s="5">
        <f t="shared" si="274"/>
        <v>2.18E-2</v>
      </c>
      <c r="O247" s="6">
        <f t="shared" si="235"/>
        <v>5.0499999999999996E-2</v>
      </c>
      <c r="P247" s="4">
        <f t="shared" si="229"/>
        <v>247.98501144318183</v>
      </c>
      <c r="Q247" s="7">
        <f t="shared" si="236"/>
        <v>1147.1423660440573</v>
      </c>
      <c r="R247" s="4">
        <f t="shared" si="241"/>
        <v>899.15735460087546</v>
      </c>
      <c r="S247" s="4">
        <f t="shared" si="230"/>
        <v>58027.974077442341</v>
      </c>
      <c r="T247" s="4">
        <f t="shared" si="242"/>
        <v>0</v>
      </c>
      <c r="U247" s="4">
        <f t="shared" si="237"/>
        <v>58027.974077442341</v>
      </c>
      <c r="AE247" s="91" t="str">
        <f t="shared" ca="1" si="256"/>
        <v/>
      </c>
      <c r="AF247" s="70">
        <f t="shared" si="251"/>
        <v>45091</v>
      </c>
      <c r="AG247" s="10">
        <f t="shared" si="228"/>
        <v>45091</v>
      </c>
      <c r="AH247" s="29">
        <f ca="1">IF(AG247=TODAY()-1,Loan!F217,IF(AG247&gt;$AB$13,$AB$55,AH246-AI247*AF246+AI247*AF247))</f>
        <v>2.656713780918718E-2</v>
      </c>
      <c r="AI247" s="87">
        <f t="shared" ca="1" si="222"/>
        <v>5.8303886925810316E-5</v>
      </c>
      <c r="AJ247" s="76" t="str">
        <f t="shared" ca="1" si="244"/>
        <v/>
      </c>
      <c r="AK247" s="76" t="str">
        <f t="shared" ca="1" si="253"/>
        <v/>
      </c>
      <c r="AL247" s="76" t="str">
        <f t="shared" ca="1" si="223"/>
        <v/>
      </c>
      <c r="AM247" s="11">
        <f t="shared" ca="1" si="245"/>
        <v>265.67137809187182</v>
      </c>
      <c r="AN247" s="11">
        <f t="shared" ca="1" si="246"/>
        <v>647.68346809628406</v>
      </c>
      <c r="AO247" s="11">
        <f t="shared" ca="1" si="278"/>
        <v>136.09738062357292</v>
      </c>
      <c r="AP247" s="12">
        <f t="shared" ca="1" si="279"/>
        <v>0.26603026148718828</v>
      </c>
      <c r="AQ247" s="11">
        <f t="shared" ca="1" si="247"/>
        <v>571.6549286151195</v>
      </c>
      <c r="AR247" s="11">
        <f t="shared" ca="1" si="280"/>
        <v>141.93420254609549</v>
      </c>
      <c r="AS247" s="12">
        <f t="shared" ca="1" si="281"/>
        <v>0.33029405829333275</v>
      </c>
      <c r="AT247" s="11">
        <f t="shared" ca="1" si="248"/>
        <v>523.25873573759395</v>
      </c>
      <c r="AU247" s="11">
        <f t="shared" ca="1" si="282"/>
        <v>147.60961202547389</v>
      </c>
      <c r="AV247" s="12">
        <f t="shared" ca="1" si="283"/>
        <v>0.39294544485240168</v>
      </c>
      <c r="AW247" s="10">
        <f t="shared" si="249"/>
        <v>45091</v>
      </c>
      <c r="AX247" s="76">
        <f t="shared" ca="1" si="269"/>
        <v>98408.504461150456</v>
      </c>
      <c r="AY247" s="75">
        <f t="shared" ca="1" si="254"/>
        <v>18.477627992944232</v>
      </c>
      <c r="AZ247" s="75">
        <f t="shared" ca="1" si="250"/>
        <v>12.878609847100781</v>
      </c>
      <c r="BA247" s="75">
        <f t="shared" ca="1" si="270"/>
        <v>5.5990181458434503</v>
      </c>
      <c r="BB247" s="75">
        <f t="shared" ca="1" si="271"/>
        <v>98402.905443004609</v>
      </c>
      <c r="BC247" s="12"/>
      <c r="BD247" s="12"/>
    </row>
    <row r="248" spans="3:56">
      <c r="C248" s="3">
        <f t="shared" si="231"/>
        <v>21</v>
      </c>
      <c r="D248" s="3">
        <f t="shared" si="238"/>
        <v>12</v>
      </c>
      <c r="E248" s="1">
        <f t="shared" si="239"/>
        <v>2039</v>
      </c>
      <c r="F248" s="3">
        <f t="shared" si="232"/>
        <v>77</v>
      </c>
      <c r="G248" s="3">
        <f t="shared" si="240"/>
        <v>244</v>
      </c>
      <c r="H248" s="4">
        <f t="shared" si="255"/>
        <v>58027.974077442341</v>
      </c>
      <c r="L248" s="25" t="str">
        <f t="shared" ca="1" si="233"/>
        <v/>
      </c>
      <c r="M248" s="4">
        <f t="shared" si="234"/>
        <v>58027.974077442341</v>
      </c>
      <c r="N248" s="5">
        <f t="shared" si="274"/>
        <v>2.18E-2</v>
      </c>
      <c r="O248" s="6">
        <f t="shared" si="235"/>
        <v>5.0499999999999996E-2</v>
      </c>
      <c r="P248" s="4">
        <f t="shared" si="229"/>
        <v>244.20105757590318</v>
      </c>
      <c r="Q248" s="7">
        <f t="shared" si="236"/>
        <v>1147.1423660440585</v>
      </c>
      <c r="R248" s="4">
        <f t="shared" si="241"/>
        <v>902.94130846815528</v>
      </c>
      <c r="S248" s="4">
        <f t="shared" si="230"/>
        <v>57125.032768974183</v>
      </c>
      <c r="T248" s="4">
        <f t="shared" si="242"/>
        <v>0</v>
      </c>
      <c r="U248" s="4">
        <f t="shared" si="237"/>
        <v>57125.032768974183</v>
      </c>
      <c r="AE248" s="91" t="str">
        <f t="shared" ca="1" si="256"/>
        <v/>
      </c>
      <c r="AF248" s="70">
        <f t="shared" si="251"/>
        <v>45092</v>
      </c>
      <c r="AG248" s="10">
        <f t="shared" si="228"/>
        <v>45092</v>
      </c>
      <c r="AH248" s="29">
        <f ca="1">IF(AG248=TODAY()-1,Loan!F218,IF(AG248&gt;$AB$13,$AB$55,AH247-AI248*AF247+AI248*AF248))</f>
        <v>2.6625441696112695E-2</v>
      </c>
      <c r="AI248" s="87">
        <f t="shared" ca="1" si="222"/>
        <v>5.8303886925801032E-5</v>
      </c>
      <c r="AJ248" s="76" t="str">
        <f t="shared" ca="1" si="244"/>
        <v/>
      </c>
      <c r="AK248" s="76" t="str">
        <f t="shared" ca="1" si="253"/>
        <v/>
      </c>
      <c r="AL248" s="76" t="str">
        <f t="shared" ca="1" si="223"/>
        <v/>
      </c>
      <c r="AM248" s="11">
        <f t="shared" ca="1" si="245"/>
        <v>266.25441696112694</v>
      </c>
      <c r="AN248" s="11">
        <f t="shared" ca="1" si="246"/>
        <v>648.00232348985026</v>
      </c>
      <c r="AO248" s="11">
        <f t="shared" ca="1" si="278"/>
        <v>136.41623601713911</v>
      </c>
      <c r="AP248" s="12">
        <f t="shared" ca="1" si="279"/>
        <v>0.26665352979212081</v>
      </c>
      <c r="AQ248" s="11">
        <f t="shared" ca="1" si="247"/>
        <v>571.99079351405942</v>
      </c>
      <c r="AR248" s="11">
        <f t="shared" ca="1" si="280"/>
        <v>142.27006744503541</v>
      </c>
      <c r="AS248" s="12">
        <f t="shared" ca="1" si="281"/>
        <v>0.33107564707545256</v>
      </c>
      <c r="AT248" s="11">
        <f t="shared" ca="1" si="248"/>
        <v>523.61075170254537</v>
      </c>
      <c r="AU248" s="11">
        <f t="shared" ca="1" si="282"/>
        <v>147.96162799042531</v>
      </c>
      <c r="AV248" s="12">
        <f t="shared" ca="1" si="283"/>
        <v>0.393882531997642</v>
      </c>
      <c r="AW248" s="10">
        <f t="shared" si="249"/>
        <v>45092</v>
      </c>
      <c r="AX248" s="76">
        <f t="shared" ca="1" si="269"/>
        <v>98402.905443004609</v>
      </c>
      <c r="AY248" s="75">
        <f t="shared" ca="1" si="254"/>
        <v>18.487424897202814</v>
      </c>
      <c r="AZ248" s="75">
        <f t="shared" ca="1" si="250"/>
        <v>12.893595662993173</v>
      </c>
      <c r="BA248" s="75">
        <f t="shared" ca="1" si="270"/>
        <v>5.5938292342096414</v>
      </c>
      <c r="BB248" s="75">
        <f t="shared" ca="1" si="271"/>
        <v>98397.311613770406</v>
      </c>
      <c r="BC248" s="12"/>
      <c r="BD248" s="12"/>
    </row>
    <row r="249" spans="3:56">
      <c r="C249" s="3">
        <f t="shared" si="231"/>
        <v>21</v>
      </c>
      <c r="D249" s="3">
        <f t="shared" si="238"/>
        <v>1</v>
      </c>
      <c r="E249" s="1">
        <f t="shared" si="239"/>
        <v>2040</v>
      </c>
      <c r="F249" s="3">
        <f t="shared" si="232"/>
        <v>77</v>
      </c>
      <c r="G249" s="3">
        <f t="shared" si="240"/>
        <v>245</v>
      </c>
      <c r="H249" s="4">
        <f t="shared" si="255"/>
        <v>57125.032768974183</v>
      </c>
      <c r="L249" s="25" t="str">
        <f t="shared" ca="1" si="233"/>
        <v/>
      </c>
      <c r="M249" s="4">
        <f t="shared" si="234"/>
        <v>57125.032768974183</v>
      </c>
      <c r="N249" s="5">
        <f t="shared" si="274"/>
        <v>2.18E-2</v>
      </c>
      <c r="O249" s="6">
        <f t="shared" si="235"/>
        <v>5.0499999999999996E-2</v>
      </c>
      <c r="P249" s="4">
        <f t="shared" si="229"/>
        <v>240.401179569433</v>
      </c>
      <c r="Q249" s="7">
        <f t="shared" si="236"/>
        <v>1147.142366044058</v>
      </c>
      <c r="R249" s="4">
        <f t="shared" si="241"/>
        <v>906.74118647462501</v>
      </c>
      <c r="S249" s="4">
        <f t="shared" si="230"/>
        <v>56218.291582499558</v>
      </c>
      <c r="T249" s="4">
        <f t="shared" si="242"/>
        <v>0</v>
      </c>
      <c r="U249" s="4">
        <f t="shared" si="237"/>
        <v>56218.291582499558</v>
      </c>
      <c r="AE249" s="91" t="str">
        <f t="shared" ca="1" si="256"/>
        <v/>
      </c>
      <c r="AF249" s="70">
        <f t="shared" si="251"/>
        <v>45093</v>
      </c>
      <c r="AG249" s="10">
        <f t="shared" si="228"/>
        <v>45093</v>
      </c>
      <c r="AH249" s="29">
        <f ca="1">IF(AG249=TODAY()-1,Loan!F219,IF(AG249&gt;$AB$13,$AB$55,AH248-AI249*AF248+AI249*AF249))</f>
        <v>2.668374558303821E-2</v>
      </c>
      <c r="AI249" s="87">
        <f t="shared" ref="AI249:AI259" ca="1" si="285">IF(AG249&lt;TODAY()-1,"",($AB$55-AH248)/($AB$53-AF248))</f>
        <v>5.8303886925820114E-5</v>
      </c>
      <c r="AJ249" s="76" t="str">
        <f t="shared" ca="1" si="244"/>
        <v/>
      </c>
      <c r="AK249" s="76" t="str">
        <f t="shared" ca="1" si="253"/>
        <v/>
      </c>
      <c r="AL249" s="76" t="str">
        <f t="shared" ref="AL249:AL259" ca="1" si="286">IF(AG249&gt;TODAY(),"",(AJ249-AJ243)/7)</f>
        <v/>
      </c>
      <c r="AM249" s="11">
        <f t="shared" ca="1" si="245"/>
        <v>266.83745583038211</v>
      </c>
      <c r="AN249" s="11">
        <f t="shared" ca="1" si="246"/>
        <v>648.32126463778729</v>
      </c>
      <c r="AO249" s="11">
        <f t="shared" ca="1" si="278"/>
        <v>136.73517716507615</v>
      </c>
      <c r="AP249" s="12">
        <f t="shared" ca="1" si="279"/>
        <v>0.26727696572157045</v>
      </c>
      <c r="AQ249" s="11">
        <f t="shared" ca="1" si="247"/>
        <v>572.32676036321868</v>
      </c>
      <c r="AR249" s="11">
        <f t="shared" ca="1" si="280"/>
        <v>142.60603429419467</v>
      </c>
      <c r="AS249" s="12">
        <f t="shared" ca="1" si="281"/>
        <v>0.33185747310519192</v>
      </c>
      <c r="AT249" s="11">
        <f t="shared" ca="1" si="248"/>
        <v>523.96288280708791</v>
      </c>
      <c r="AU249" s="11">
        <f t="shared" ca="1" si="282"/>
        <v>148.31375909496785</v>
      </c>
      <c r="AV249" s="12">
        <f t="shared" ca="1" si="283"/>
        <v>0.39481992565122709</v>
      </c>
      <c r="AW249" s="10">
        <f t="shared" si="249"/>
        <v>45093</v>
      </c>
      <c r="AX249" s="76">
        <f t="shared" ca="1" si="269"/>
        <v>98397.311613770406</v>
      </c>
      <c r="AY249" s="75">
        <f t="shared" ca="1" si="254"/>
        <v>18.497224857550947</v>
      </c>
      <c r="AZ249" s="75">
        <f t="shared" ca="1" si="250"/>
        <v>12.908580370873185</v>
      </c>
      <c r="BA249" s="75">
        <f t="shared" ca="1" si="270"/>
        <v>5.5886444866777616</v>
      </c>
      <c r="BB249" s="75">
        <f t="shared" ca="1" si="271"/>
        <v>98391.722969283728</v>
      </c>
      <c r="BC249" s="12"/>
      <c r="BD249" s="12"/>
    </row>
    <row r="250" spans="3:56">
      <c r="C250" s="3">
        <f t="shared" si="231"/>
        <v>21</v>
      </c>
      <c r="D250" s="3">
        <f t="shared" si="238"/>
        <v>2</v>
      </c>
      <c r="E250" s="1">
        <f t="shared" si="239"/>
        <v>2040</v>
      </c>
      <c r="F250" s="3">
        <f t="shared" si="232"/>
        <v>78</v>
      </c>
      <c r="G250" s="3">
        <f t="shared" si="240"/>
        <v>246</v>
      </c>
      <c r="H250" s="4">
        <f t="shared" si="255"/>
        <v>56218.291582499558</v>
      </c>
      <c r="L250" s="25" t="str">
        <f t="shared" ca="1" si="233"/>
        <v/>
      </c>
      <c r="M250" s="4">
        <f t="shared" si="234"/>
        <v>56218.291582499558</v>
      </c>
      <c r="N250" s="5">
        <f t="shared" si="274"/>
        <v>2.18E-2</v>
      </c>
      <c r="O250" s="6">
        <f t="shared" si="235"/>
        <v>5.0499999999999996E-2</v>
      </c>
      <c r="P250" s="4">
        <f t="shared" si="229"/>
        <v>236.5853104096856</v>
      </c>
      <c r="Q250" s="7">
        <f t="shared" si="236"/>
        <v>1147.1423660440589</v>
      </c>
      <c r="R250" s="4">
        <f t="shared" si="241"/>
        <v>910.55705563437334</v>
      </c>
      <c r="S250" s="4">
        <f t="shared" si="230"/>
        <v>55307.734526865184</v>
      </c>
      <c r="T250" s="4">
        <f t="shared" si="242"/>
        <v>0</v>
      </c>
      <c r="U250" s="4">
        <f t="shared" si="237"/>
        <v>55307.734526865184</v>
      </c>
      <c r="AE250" s="91" t="str">
        <f t="shared" ca="1" si="256"/>
        <v/>
      </c>
      <c r="AF250" s="70">
        <f t="shared" si="251"/>
        <v>45096</v>
      </c>
      <c r="AG250" s="10">
        <f t="shared" ref="AG250" si="287">AG249+3</f>
        <v>45096</v>
      </c>
      <c r="AH250" s="29">
        <f ca="1">IF(AG250=TODAY()-1,Loan!F220,IF(AG250&gt;$AB$13,$AB$55,AH249-AI250*AF249+AI250*AF250))</f>
        <v>2.6858657243815642E-2</v>
      </c>
      <c r="AI250" s="87">
        <f t="shared" ca="1" si="285"/>
        <v>5.830388692584192E-5</v>
      </c>
      <c r="AJ250" s="76" t="str">
        <f t="shared" ca="1" si="244"/>
        <v/>
      </c>
      <c r="AK250" s="76" t="str">
        <f t="shared" ca="1" si="253"/>
        <v/>
      </c>
      <c r="AL250" s="76" t="str">
        <f t="shared" ca="1" si="286"/>
        <v/>
      </c>
      <c r="AM250" s="11">
        <f t="shared" ca="1" si="245"/>
        <v>268.5865724381564</v>
      </c>
      <c r="AN250" s="11">
        <f t="shared" ca="1" si="246"/>
        <v>649.27860241429414</v>
      </c>
      <c r="AO250" s="11">
        <f t="shared" ca="1" si="278"/>
        <v>137.692514941583</v>
      </c>
      <c r="AP250" s="12">
        <f t="shared" ca="1" si="279"/>
        <v>0.26914827887872877</v>
      </c>
      <c r="AQ250" s="11">
        <f t="shared" ca="1" si="247"/>
        <v>573.33527226020487</v>
      </c>
      <c r="AR250" s="11">
        <f t="shared" ca="1" si="280"/>
        <v>143.61454619118086</v>
      </c>
      <c r="AS250" s="12">
        <f t="shared" ca="1" si="281"/>
        <v>0.33420437386143842</v>
      </c>
      <c r="AT250" s="11">
        <f t="shared" ca="1" si="248"/>
        <v>525.01996639631921</v>
      </c>
      <c r="AU250" s="11">
        <f t="shared" ca="1" si="282"/>
        <v>149.37084268419915</v>
      </c>
      <c r="AV250" s="12">
        <f t="shared" ca="1" si="283"/>
        <v>0.39763394416612557</v>
      </c>
      <c r="AW250" s="10">
        <f t="shared" si="249"/>
        <v>45096</v>
      </c>
      <c r="AX250" s="76">
        <f t="shared" ca="1" si="269"/>
        <v>98391.722969283728</v>
      </c>
      <c r="AY250" s="75">
        <f t="shared" ca="1" si="254"/>
        <v>18.530844633799187</v>
      </c>
      <c r="AZ250" s="75">
        <f t="shared" ca="1" si="250"/>
        <v>12.954997506326768</v>
      </c>
      <c r="BA250" s="75">
        <f t="shared" ca="1" si="270"/>
        <v>5.5758471274724197</v>
      </c>
      <c r="BB250" s="75">
        <f t="shared" ca="1" si="271"/>
        <v>98386.147122156253</v>
      </c>
      <c r="BC250" s="12"/>
      <c r="BD250" s="12"/>
    </row>
    <row r="251" spans="3:56">
      <c r="C251" s="3">
        <f t="shared" si="231"/>
        <v>21</v>
      </c>
      <c r="D251" s="3">
        <f t="shared" si="238"/>
        <v>3</v>
      </c>
      <c r="E251" s="1">
        <f t="shared" si="239"/>
        <v>2040</v>
      </c>
      <c r="F251" s="3">
        <f t="shared" si="232"/>
        <v>78</v>
      </c>
      <c r="G251" s="3">
        <f t="shared" si="240"/>
        <v>247</v>
      </c>
      <c r="H251" s="4">
        <f t="shared" si="255"/>
        <v>55307.734526865184</v>
      </c>
      <c r="L251" s="25" t="str">
        <f t="shared" ca="1" si="233"/>
        <v/>
      </c>
      <c r="M251" s="4">
        <f t="shared" si="234"/>
        <v>55307.734526865184</v>
      </c>
      <c r="N251" s="5">
        <f t="shared" si="274"/>
        <v>2.18E-2</v>
      </c>
      <c r="O251" s="6">
        <f t="shared" si="235"/>
        <v>5.0499999999999996E-2</v>
      </c>
      <c r="P251" s="4">
        <f t="shared" si="229"/>
        <v>232.75338280055766</v>
      </c>
      <c r="Q251" s="7">
        <f t="shared" si="236"/>
        <v>1147.1423660440576</v>
      </c>
      <c r="R251" s="4">
        <f t="shared" si="241"/>
        <v>914.38898324349987</v>
      </c>
      <c r="S251" s="4">
        <f t="shared" si="230"/>
        <v>54393.345543621683</v>
      </c>
      <c r="T251" s="4">
        <f t="shared" si="242"/>
        <v>0</v>
      </c>
      <c r="U251" s="4">
        <f t="shared" si="237"/>
        <v>54393.345543621683</v>
      </c>
      <c r="AE251" s="91" t="str">
        <f t="shared" ca="1" si="256"/>
        <v/>
      </c>
      <c r="AF251" s="70">
        <f t="shared" si="251"/>
        <v>45097</v>
      </c>
      <c r="AG251" s="10">
        <f t="shared" ref="AG251" si="288">AG250+1</f>
        <v>45097</v>
      </c>
      <c r="AH251" s="29">
        <f ca="1">IF(AG251=TODAY()-1,Loan!F221,IF(AG251&gt;$AB$13,$AB$55,AH250-AI251*AF250+AI251*AF251))</f>
        <v>2.6916961130741601E-2</v>
      </c>
      <c r="AI251" s="87">
        <f t="shared" ca="1" si="285"/>
        <v>5.8303886925850391E-5</v>
      </c>
      <c r="AJ251" s="76" t="str">
        <f t="shared" ca="1" si="244"/>
        <v/>
      </c>
      <c r="AK251" s="76" t="str">
        <f t="shared" ca="1" si="253"/>
        <v/>
      </c>
      <c r="AL251" s="76" t="str">
        <f t="shared" ca="1" si="286"/>
        <v/>
      </c>
      <c r="AM251" s="11">
        <f t="shared" ca="1" si="245"/>
        <v>269.16961130741601</v>
      </c>
      <c r="AN251" s="11">
        <f t="shared" ca="1" si="246"/>
        <v>649.59788638620307</v>
      </c>
      <c r="AO251" s="11">
        <f t="shared" ca="1" si="278"/>
        <v>138.01179891349193</v>
      </c>
      <c r="AP251" s="12">
        <f t="shared" ca="1" si="279"/>
        <v>0.26977238492798872</v>
      </c>
      <c r="AQ251" s="11">
        <f t="shared" ca="1" si="247"/>
        <v>573.67164655837678</v>
      </c>
      <c r="AR251" s="11">
        <f t="shared" ca="1" si="280"/>
        <v>143.95092048935277</v>
      </c>
      <c r="AS251" s="12">
        <f t="shared" ca="1" si="281"/>
        <v>0.33498714806283419</v>
      </c>
      <c r="AT251" s="11">
        <f t="shared" ca="1" si="248"/>
        <v>525.37255749717315</v>
      </c>
      <c r="AU251" s="11">
        <f t="shared" ca="1" si="282"/>
        <v>149.72343378505309</v>
      </c>
      <c r="AV251" s="12">
        <f t="shared" ca="1" si="283"/>
        <v>0.39857256235687144</v>
      </c>
      <c r="AW251" s="10">
        <f t="shared" si="249"/>
        <v>45097</v>
      </c>
      <c r="AX251" s="76">
        <f t="shared" ca="1" si="269"/>
        <v>98386.147122156253</v>
      </c>
      <c r="AY251" s="75">
        <f t="shared" ca="1" si="254"/>
        <v>18.538557899701889</v>
      </c>
      <c r="AZ251" s="75">
        <f t="shared" ca="1" si="250"/>
        <v>12.969979224329363</v>
      </c>
      <c r="BA251" s="75">
        <f t="shared" ca="1" si="270"/>
        <v>5.5685786753725264</v>
      </c>
      <c r="BB251" s="75">
        <f t="shared" ca="1" si="271"/>
        <v>98380.578543480879</v>
      </c>
      <c r="BC251" s="12"/>
      <c r="BD251" s="12"/>
    </row>
    <row r="252" spans="3:56">
      <c r="C252" s="3">
        <f t="shared" si="231"/>
        <v>21</v>
      </c>
      <c r="D252" s="3">
        <f t="shared" si="238"/>
        <v>4</v>
      </c>
      <c r="E252" s="1">
        <f t="shared" si="239"/>
        <v>2040</v>
      </c>
      <c r="F252" s="3">
        <f t="shared" si="232"/>
        <v>78</v>
      </c>
      <c r="G252" s="3">
        <f t="shared" si="240"/>
        <v>248</v>
      </c>
      <c r="H252" s="4">
        <f t="shared" si="255"/>
        <v>54393.345543621683</v>
      </c>
      <c r="L252" s="25" t="str">
        <f t="shared" ca="1" si="233"/>
        <v/>
      </c>
      <c r="M252" s="4">
        <f t="shared" si="234"/>
        <v>54393.345543621683</v>
      </c>
      <c r="N252" s="5">
        <f t="shared" si="274"/>
        <v>2.18E-2</v>
      </c>
      <c r="O252" s="6">
        <f t="shared" si="235"/>
        <v>5.0499999999999996E-2</v>
      </c>
      <c r="P252" s="4">
        <f t="shared" si="229"/>
        <v>228.90532916274125</v>
      </c>
      <c r="Q252" s="7">
        <f t="shared" si="236"/>
        <v>1147.1423660440582</v>
      </c>
      <c r="R252" s="4">
        <f t="shared" si="241"/>
        <v>918.23703688131695</v>
      </c>
      <c r="S252" s="4">
        <f t="shared" si="230"/>
        <v>53475.108506740369</v>
      </c>
      <c r="T252" s="4">
        <f t="shared" si="242"/>
        <v>0</v>
      </c>
      <c r="U252" s="4">
        <f t="shared" si="237"/>
        <v>53475.108506740369</v>
      </c>
      <c r="AE252" s="91" t="str">
        <f t="shared" ca="1" si="256"/>
        <v/>
      </c>
      <c r="AF252" s="70">
        <f t="shared" si="251"/>
        <v>45098</v>
      </c>
      <c r="AG252" s="10">
        <f t="shared" si="228"/>
        <v>45098</v>
      </c>
      <c r="AH252" s="29">
        <f ca="1">IF(AG252=TODAY()-1,Loan!F222,IF(AG252&gt;$AB$13,$AB$55,AH251-AI252*AF251+AI252*AF252))</f>
        <v>2.697526501766756E-2</v>
      </c>
      <c r="AI252" s="87">
        <f t="shared" ca="1" si="285"/>
        <v>5.8303886925839542E-5</v>
      </c>
      <c r="AJ252" s="76" t="str">
        <f t="shared" ca="1" si="244"/>
        <v/>
      </c>
      <c r="AK252" s="76" t="str">
        <f t="shared" ca="1" si="253"/>
        <v/>
      </c>
      <c r="AL252" s="76" t="str">
        <f t="shared" ca="1" si="286"/>
        <v/>
      </c>
      <c r="AM252" s="11">
        <f t="shared" ca="1" si="245"/>
        <v>269.75265017667562</v>
      </c>
      <c r="AN252" s="11">
        <f t="shared" ca="1" si="246"/>
        <v>649.91725601564508</v>
      </c>
      <c r="AO252" s="11">
        <f t="shared" ca="1" si="278"/>
        <v>138.33116854293394</v>
      </c>
      <c r="AP252" s="12">
        <f t="shared" ca="1" si="279"/>
        <v>0.2703966584124764</v>
      </c>
      <c r="AQ252" s="11">
        <f t="shared" ca="1" si="247"/>
        <v>574.00812263070281</v>
      </c>
      <c r="AR252" s="11">
        <f t="shared" ca="1" si="280"/>
        <v>144.2873965616788</v>
      </c>
      <c r="AS252" s="12">
        <f t="shared" ca="1" si="281"/>
        <v>0.33577015910212948</v>
      </c>
      <c r="AT252" s="11">
        <f t="shared" ca="1" si="248"/>
        <v>525.72526345642211</v>
      </c>
      <c r="AU252" s="11">
        <f t="shared" ca="1" si="282"/>
        <v>150.07613974430205</v>
      </c>
      <c r="AV252" s="12">
        <f t="shared" ca="1" si="283"/>
        <v>0.39951148630740158</v>
      </c>
      <c r="AW252" s="10">
        <f t="shared" si="249"/>
        <v>45098</v>
      </c>
      <c r="AX252" s="76">
        <f t="shared" ca="1" si="269"/>
        <v>98380.578543480879</v>
      </c>
      <c r="AY252" s="75">
        <f t="shared" ca="1" si="254"/>
        <v>18.548374242490315</v>
      </c>
      <c r="AZ252" s="75">
        <f t="shared" ca="1" si="250"/>
        <v>12.984960120338767</v>
      </c>
      <c r="BA252" s="75">
        <f t="shared" ca="1" si="270"/>
        <v>5.5634141221515474</v>
      </c>
      <c r="BB252" s="75">
        <f t="shared" ca="1" si="271"/>
        <v>98375.015129358726</v>
      </c>
      <c r="BC252" s="12"/>
      <c r="BD252" s="12"/>
    </row>
    <row r="253" spans="3:56">
      <c r="C253" s="3">
        <f t="shared" si="231"/>
        <v>21</v>
      </c>
      <c r="D253" s="3">
        <f t="shared" si="238"/>
        <v>5</v>
      </c>
      <c r="E253" s="1">
        <f t="shared" si="239"/>
        <v>2040</v>
      </c>
      <c r="F253" s="3">
        <f t="shared" si="232"/>
        <v>78</v>
      </c>
      <c r="G253" s="3">
        <f t="shared" si="240"/>
        <v>249</v>
      </c>
      <c r="H253" s="4">
        <f t="shared" si="255"/>
        <v>53475.108506740369</v>
      </c>
      <c r="L253" s="25" t="str">
        <f t="shared" ca="1" si="233"/>
        <v/>
      </c>
      <c r="M253" s="4">
        <f t="shared" si="234"/>
        <v>53475.108506740369</v>
      </c>
      <c r="N253" s="5">
        <f t="shared" si="274"/>
        <v>2.18E-2</v>
      </c>
      <c r="O253" s="6">
        <f t="shared" si="235"/>
        <v>5.0499999999999996E-2</v>
      </c>
      <c r="P253" s="4">
        <f t="shared" si="229"/>
        <v>225.04108163253238</v>
      </c>
      <c r="Q253" s="7">
        <f t="shared" si="236"/>
        <v>1147.1423660440603</v>
      </c>
      <c r="R253" s="4">
        <f t="shared" si="241"/>
        <v>922.1012844115279</v>
      </c>
      <c r="S253" s="4">
        <f t="shared" si="230"/>
        <v>52553.007222328844</v>
      </c>
      <c r="T253" s="4">
        <f t="shared" si="242"/>
        <v>0</v>
      </c>
      <c r="U253" s="4">
        <f t="shared" si="237"/>
        <v>52553.007222328844</v>
      </c>
      <c r="AE253" s="91" t="str">
        <f t="shared" ca="1" si="256"/>
        <v/>
      </c>
      <c r="AF253" s="70">
        <f t="shared" si="251"/>
        <v>45099</v>
      </c>
      <c r="AG253" s="10">
        <f t="shared" si="228"/>
        <v>45099</v>
      </c>
      <c r="AH253" s="29">
        <f ca="1">IF(AG253=TODAY()-1,Loan!F223,IF(AG253&gt;$AB$13,$AB$55,AH252-AI253*AF252+AI253*AF253))</f>
        <v>2.7033568904593519E-2</v>
      </c>
      <c r="AI253" s="87">
        <f t="shared" ca="1" si="285"/>
        <v>5.8303886925826281E-5</v>
      </c>
      <c r="AJ253" s="76" t="str">
        <f t="shared" ca="1" si="244"/>
        <v/>
      </c>
      <c r="AK253" s="76" t="str">
        <f t="shared" ca="1" si="253"/>
        <v/>
      </c>
      <c r="AL253" s="76" t="str">
        <f t="shared" ca="1" si="286"/>
        <v/>
      </c>
      <c r="AM253" s="11">
        <f t="shared" ca="1" si="245"/>
        <v>270.33568904593517</v>
      </c>
      <c r="AN253" s="11">
        <f t="shared" ca="1" si="246"/>
        <v>650.23671128322076</v>
      </c>
      <c r="AO253" s="11">
        <f t="shared" ca="1" si="278"/>
        <v>138.65062381050961</v>
      </c>
      <c r="AP253" s="12">
        <f t="shared" ca="1" si="279"/>
        <v>0.27102109929427171</v>
      </c>
      <c r="AQ253" s="11">
        <f t="shared" ca="1" si="247"/>
        <v>574.34470044190368</v>
      </c>
      <c r="AR253" s="11">
        <f t="shared" ca="1" si="280"/>
        <v>144.62397437287967</v>
      </c>
      <c r="AS253" s="12">
        <f t="shared" ca="1" si="281"/>
        <v>0.33655340689722613</v>
      </c>
      <c r="AT253" s="11">
        <f t="shared" ca="1" si="248"/>
        <v>526.07808421773632</v>
      </c>
      <c r="AU253" s="11">
        <f t="shared" ca="1" si="282"/>
        <v>150.42896050561626</v>
      </c>
      <c r="AV253" s="12">
        <f t="shared" ca="1" si="283"/>
        <v>0.40045071586776276</v>
      </c>
      <c r="AW253" s="10">
        <f t="shared" si="249"/>
        <v>45099</v>
      </c>
      <c r="AX253" s="76">
        <f t="shared" ca="1" si="269"/>
        <v>98375.015129358726</v>
      </c>
      <c r="AY253" s="75">
        <f t="shared" ca="1" si="254"/>
        <v>18.558193637146022</v>
      </c>
      <c r="AZ253" s="75">
        <f t="shared" ca="1" si="250"/>
        <v>12.99993991981467</v>
      </c>
      <c r="BA253" s="75">
        <f t="shared" ca="1" si="270"/>
        <v>5.5582537173313522</v>
      </c>
      <c r="BB253" s="75">
        <f t="shared" ca="1" si="271"/>
        <v>98369.456875641394</v>
      </c>
      <c r="BC253" s="12"/>
      <c r="BD253" s="12"/>
    </row>
    <row r="254" spans="3:56">
      <c r="C254" s="3">
        <f t="shared" si="231"/>
        <v>21</v>
      </c>
      <c r="D254" s="3">
        <f t="shared" si="238"/>
        <v>6</v>
      </c>
      <c r="E254" s="1">
        <f t="shared" si="239"/>
        <v>2040</v>
      </c>
      <c r="F254" s="3">
        <f t="shared" si="232"/>
        <v>78</v>
      </c>
      <c r="G254" s="3">
        <f t="shared" si="240"/>
        <v>250</v>
      </c>
      <c r="H254" s="4">
        <f t="shared" si="255"/>
        <v>52553.007222328844</v>
      </c>
      <c r="L254" s="25" t="str">
        <f t="shared" ca="1" si="233"/>
        <v/>
      </c>
      <c r="M254" s="4">
        <f t="shared" si="234"/>
        <v>52553.007222328844</v>
      </c>
      <c r="N254" s="5">
        <f t="shared" si="274"/>
        <v>2.18E-2</v>
      </c>
      <c r="O254" s="6">
        <f t="shared" si="235"/>
        <v>5.0499999999999996E-2</v>
      </c>
      <c r="P254" s="4">
        <f t="shared" si="229"/>
        <v>221.16057206063385</v>
      </c>
      <c r="Q254" s="7">
        <f t="shared" si="236"/>
        <v>1147.1423660440603</v>
      </c>
      <c r="R254" s="4">
        <f t="shared" si="241"/>
        <v>925.98179398342643</v>
      </c>
      <c r="S254" s="4">
        <f t="shared" si="230"/>
        <v>51627.02542834542</v>
      </c>
      <c r="T254" s="4">
        <f t="shared" si="242"/>
        <v>0</v>
      </c>
      <c r="U254" s="4">
        <f t="shared" si="237"/>
        <v>51627.02542834542</v>
      </c>
      <c r="AE254" s="91" t="str">
        <f t="shared" ca="1" si="256"/>
        <v/>
      </c>
      <c r="AF254" s="70">
        <f t="shared" si="251"/>
        <v>45100</v>
      </c>
      <c r="AG254" s="10">
        <f t="shared" si="228"/>
        <v>45100</v>
      </c>
      <c r="AH254" s="29">
        <f ca="1">IF(AG254=TODAY()-1,Loan!F224,IF(AG254&gt;$AB$13,$AB$55,AH253-AI254*AF253+AI254*AF254))</f>
        <v>2.7091872791519034E-2</v>
      </c>
      <c r="AI254" s="87">
        <f t="shared" ca="1" si="285"/>
        <v>5.8303886925809706E-5</v>
      </c>
      <c r="AJ254" s="76" t="str">
        <f t="shared" ca="1" si="244"/>
        <v/>
      </c>
      <c r="AK254" s="76" t="str">
        <f t="shared" ca="1" si="253"/>
        <v/>
      </c>
      <c r="AL254" s="76" t="str">
        <f t="shared" ca="1" si="286"/>
        <v/>
      </c>
      <c r="AM254" s="11">
        <f t="shared" ca="1" si="245"/>
        <v>270.91872791519035</v>
      </c>
      <c r="AN254" s="11">
        <f t="shared" ca="1" si="246"/>
        <v>650.556252169505</v>
      </c>
      <c r="AO254" s="11">
        <f t="shared" ca="1" si="278"/>
        <v>138.97016469679386</v>
      </c>
      <c r="AP254" s="12">
        <f t="shared" ca="1" si="279"/>
        <v>0.27164570753540429</v>
      </c>
      <c r="AQ254" s="11">
        <f t="shared" ca="1" si="247"/>
        <v>574.68137995666677</v>
      </c>
      <c r="AR254" s="11">
        <f t="shared" ca="1" si="280"/>
        <v>144.96065388764276</v>
      </c>
      <c r="AS254" s="12">
        <f t="shared" ca="1" si="281"/>
        <v>0.33733689136594824</v>
      </c>
      <c r="AT254" s="11">
        <f t="shared" ca="1" si="248"/>
        <v>526.43101972474551</v>
      </c>
      <c r="AU254" s="11">
        <f t="shared" ca="1" si="282"/>
        <v>150.78189601262545</v>
      </c>
      <c r="AV254" s="12">
        <f t="shared" ca="1" si="283"/>
        <v>0.40139025088789415</v>
      </c>
      <c r="AW254" s="10">
        <f t="shared" si="249"/>
        <v>45100</v>
      </c>
      <c r="AX254" s="76">
        <f t="shared" ca="1" si="269"/>
        <v>98369.456875641394</v>
      </c>
      <c r="AY254" s="75">
        <f t="shared" ca="1" si="254"/>
        <v>18.568016082913523</v>
      </c>
      <c r="AZ254" s="75">
        <f t="shared" ca="1" si="250"/>
        <v>13.014918624682991</v>
      </c>
      <c r="BA254" s="75">
        <f t="shared" ca="1" si="270"/>
        <v>5.5530974582305319</v>
      </c>
      <c r="BB254" s="75">
        <f t="shared" ca="1" si="271"/>
        <v>98363.903778183158</v>
      </c>
      <c r="BC254" s="12"/>
      <c r="BD254" s="12"/>
    </row>
    <row r="255" spans="3:56">
      <c r="C255" s="3">
        <f t="shared" si="231"/>
        <v>21</v>
      </c>
      <c r="D255" s="3">
        <f t="shared" si="238"/>
        <v>7</v>
      </c>
      <c r="E255" s="1">
        <f t="shared" si="239"/>
        <v>2040</v>
      </c>
      <c r="F255" s="3">
        <f t="shared" si="232"/>
        <v>78</v>
      </c>
      <c r="G255" s="3">
        <f t="shared" si="240"/>
        <v>251</v>
      </c>
      <c r="H255" s="4">
        <f t="shared" si="255"/>
        <v>51627.02542834542</v>
      </c>
      <c r="L255" s="25" t="str">
        <f t="shared" ca="1" si="233"/>
        <v/>
      </c>
      <c r="M255" s="4">
        <f t="shared" si="234"/>
        <v>51627.02542834542</v>
      </c>
      <c r="N255" s="5">
        <f t="shared" si="274"/>
        <v>2.18E-2</v>
      </c>
      <c r="O255" s="6">
        <f t="shared" si="235"/>
        <v>5.0499999999999996E-2</v>
      </c>
      <c r="P255" s="4">
        <f t="shared" si="229"/>
        <v>217.26373201095362</v>
      </c>
      <c r="Q255" s="7">
        <f t="shared" si="236"/>
        <v>1147.1423660440603</v>
      </c>
      <c r="R255" s="4">
        <f t="shared" si="241"/>
        <v>929.87863403310666</v>
      </c>
      <c r="S255" s="4">
        <f t="shared" si="230"/>
        <v>50697.146794312313</v>
      </c>
      <c r="T255" s="4">
        <f t="shared" si="242"/>
        <v>0</v>
      </c>
      <c r="U255" s="4">
        <f t="shared" si="237"/>
        <v>50697.146794312313</v>
      </c>
      <c r="AE255" s="91" t="str">
        <f t="shared" ca="1" si="256"/>
        <v/>
      </c>
      <c r="AF255" s="70">
        <f t="shared" si="251"/>
        <v>45103</v>
      </c>
      <c r="AG255" s="10">
        <f t="shared" ref="AG255" si="289">AG254+3</f>
        <v>45103</v>
      </c>
      <c r="AH255" s="29">
        <f ca="1">IF(AG255=TODAY()-1,Loan!F225,IF(AG255&gt;$AB$13,$AB$55,AH254-AI255*AF254+AI255*AF255))</f>
        <v>2.7266784452296466E-2</v>
      </c>
      <c r="AI255" s="87">
        <f t="shared" ca="1" si="285"/>
        <v>5.8303886925851834E-5</v>
      </c>
      <c r="AJ255" s="76" t="str">
        <f t="shared" ca="1" si="244"/>
        <v/>
      </c>
      <c r="AK255" s="76" t="str">
        <f t="shared" ca="1" si="253"/>
        <v/>
      </c>
      <c r="AL255" s="76" t="str">
        <f t="shared" ca="1" si="286"/>
        <v/>
      </c>
      <c r="AM255" s="11">
        <f t="shared" ca="1" si="245"/>
        <v>272.66784452296469</v>
      </c>
      <c r="AN255" s="11">
        <f t="shared" ca="1" si="246"/>
        <v>651.51538834609255</v>
      </c>
      <c r="AO255" s="11">
        <f t="shared" ca="1" si="278"/>
        <v>139.92930087338141</v>
      </c>
      <c r="AP255" s="12">
        <f t="shared" ca="1" si="279"/>
        <v>0.2735205360346033</v>
      </c>
      <c r="AQ255" s="11">
        <f t="shared" ca="1" si="247"/>
        <v>575.69202836879822</v>
      </c>
      <c r="AR255" s="11">
        <f t="shared" ca="1" si="280"/>
        <v>145.97130229977421</v>
      </c>
      <c r="AS255" s="12">
        <f t="shared" ca="1" si="281"/>
        <v>0.33968876399116837</v>
      </c>
      <c r="AT255" s="11">
        <f t="shared" ca="1" si="248"/>
        <v>527.49051415574991</v>
      </c>
      <c r="AU255" s="11">
        <f t="shared" ca="1" si="282"/>
        <v>151.84139044362985</v>
      </c>
      <c r="AV255" s="12">
        <f t="shared" ca="1" si="283"/>
        <v>0.40421068720499398</v>
      </c>
      <c r="AW255" s="10">
        <f t="shared" si="249"/>
        <v>45103</v>
      </c>
      <c r="AX255" s="76">
        <f ca="1">BB254</f>
        <v>98363.903778183158</v>
      </c>
      <c r="AY255" s="75">
        <f t="shared" ca="1" si="254"/>
        <v>18.601693701576238</v>
      </c>
      <c r="AZ255" s="75">
        <f t="shared" ca="1" si="250"/>
        <v>13.061320883023654</v>
      </c>
      <c r="BA255" s="75">
        <f ca="1">AY255-AZ255</f>
        <v>5.5403728185525836</v>
      </c>
      <c r="BB255" s="75">
        <f ca="1">AX255-BA255</f>
        <v>98358.363405364609</v>
      </c>
      <c r="BC255" s="12"/>
      <c r="BD255" s="12"/>
    </row>
    <row r="256" spans="3:56">
      <c r="C256" s="3">
        <f t="shared" si="231"/>
        <v>21</v>
      </c>
      <c r="D256" s="3">
        <f t="shared" si="238"/>
        <v>8</v>
      </c>
      <c r="E256" s="1">
        <f t="shared" si="239"/>
        <v>2040</v>
      </c>
      <c r="F256" s="3">
        <f t="shared" si="232"/>
        <v>78</v>
      </c>
      <c r="G256" s="3">
        <f t="shared" si="240"/>
        <v>252</v>
      </c>
      <c r="H256" s="4">
        <f t="shared" si="255"/>
        <v>50697.146794312313</v>
      </c>
      <c r="L256" s="25" t="str">
        <f t="shared" ca="1" si="233"/>
        <v/>
      </c>
      <c r="M256" s="4">
        <f t="shared" si="234"/>
        <v>50697.146794312313</v>
      </c>
      <c r="N256" s="5">
        <f t="shared" si="274"/>
        <v>2.18E-2</v>
      </c>
      <c r="O256" s="6">
        <f t="shared" si="235"/>
        <v>5.0499999999999996E-2</v>
      </c>
      <c r="P256" s="4">
        <f t="shared" si="229"/>
        <v>213.35049275939764</v>
      </c>
      <c r="Q256" s="7">
        <f t="shared" si="236"/>
        <v>1147.1423660440607</v>
      </c>
      <c r="R256" s="4">
        <f t="shared" si="241"/>
        <v>933.7918732846631</v>
      </c>
      <c r="S256" s="4">
        <f t="shared" si="230"/>
        <v>49763.354921027647</v>
      </c>
      <c r="T256" s="4">
        <f t="shared" ref="T256" si="290">O256-P256-Q256-R256</f>
        <v>-2294.2342320881216</v>
      </c>
      <c r="U256" s="5">
        <f t="shared" ref="U256" si="291">U255</f>
        <v>50697.146794312313</v>
      </c>
      <c r="AE256" s="91" t="str">
        <f t="shared" ca="1" si="256"/>
        <v/>
      </c>
      <c r="AF256" s="70">
        <f t="shared" si="251"/>
        <v>45104</v>
      </c>
      <c r="AG256" s="10">
        <f t="shared" ref="AG256" si="292">AG255+1</f>
        <v>45104</v>
      </c>
      <c r="AH256" s="29">
        <f ca="1">IF(AG256=TODAY()-1,Loan!F226,IF(AG256&gt;$AB$13,$AB$55,AH255-AI256*AF255+AI256*AF256))</f>
        <v>2.7325088339222425E-2</v>
      </c>
      <c r="AI256" s="87">
        <f t="shared" ca="1" si="285"/>
        <v>5.8303886925882564E-5</v>
      </c>
      <c r="AJ256" s="76" t="str">
        <f t="shared" ca="1" si="244"/>
        <v/>
      </c>
      <c r="AK256" s="76" t="str">
        <f t="shared" ca="1" si="253"/>
        <v/>
      </c>
      <c r="AL256" s="76" t="str">
        <f t="shared" ca="1" si="286"/>
        <v/>
      </c>
      <c r="AM256" s="11">
        <f t="shared" ca="1" si="245"/>
        <v>273.25088339222424</v>
      </c>
      <c r="AN256" s="11">
        <f t="shared" ca="1" si="246"/>
        <v>651.83527151258716</v>
      </c>
      <c r="AO256" s="11">
        <f t="shared" ca="1" si="278"/>
        <v>140.24918403987601</v>
      </c>
      <c r="AP256" s="12">
        <f t="shared" ca="1" si="279"/>
        <v>0.2741458133326527</v>
      </c>
      <c r="AQ256" s="11">
        <f t="shared" ca="1" si="247"/>
        <v>576.02911434412738</v>
      </c>
      <c r="AR256" s="11">
        <f t="shared" ca="1" si="280"/>
        <v>146.30838827510337</v>
      </c>
      <c r="AS256" s="12">
        <f t="shared" ca="1" si="281"/>
        <v>0.3404731943313401</v>
      </c>
      <c r="AT256" s="11">
        <f t="shared" ca="1" si="248"/>
        <v>527.84390808116086</v>
      </c>
      <c r="AU256" s="11">
        <f t="shared" ca="1" si="282"/>
        <v>152.1947843690408</v>
      </c>
      <c r="AV256" s="12">
        <f t="shared" ca="1" si="283"/>
        <v>0.40515144256179814</v>
      </c>
      <c r="AW256" s="10">
        <f t="shared" si="249"/>
        <v>45104</v>
      </c>
      <c r="AX256" s="76">
        <f t="shared" ref="AX256:AX259" ca="1" si="293">BB255</f>
        <v>98358.363405364609</v>
      </c>
      <c r="AY256" s="75">
        <f t="shared" ca="1" si="254"/>
        <v>18.609434219419803</v>
      </c>
      <c r="AZ256" s="75">
        <f t="shared" ca="1" si="250"/>
        <v>13.076296638757974</v>
      </c>
      <c r="BA256" s="75">
        <f t="shared" ref="BA256:BA259" ca="1" si="294">AY256-AZ256</f>
        <v>5.5331375806618297</v>
      </c>
      <c r="BB256" s="75">
        <f t="shared" ref="BB256:BB259" ca="1" si="295">AX256-BA256</f>
        <v>98352.830267783953</v>
      </c>
      <c r="BC256" s="12"/>
      <c r="BD256" s="12"/>
    </row>
    <row r="257" spans="3:56">
      <c r="C257" s="3">
        <f t="shared" si="231"/>
        <v>22</v>
      </c>
      <c r="D257" s="3">
        <f t="shared" si="238"/>
        <v>9</v>
      </c>
      <c r="E257" s="1">
        <f t="shared" ref="E257:E303" si="296">IF(D257=1,E256+1,E256)</f>
        <v>2040</v>
      </c>
      <c r="F257" s="3">
        <f t="shared" ref="F257:F303" si="297">ROUND(((E257-1962)*12+D257-8)/12,0)</f>
        <v>78</v>
      </c>
      <c r="G257" s="3">
        <f t="shared" si="240"/>
        <v>253</v>
      </c>
      <c r="H257" s="4">
        <f t="shared" ref="H257:H303" si="298">S256</f>
        <v>49763.354921027647</v>
      </c>
      <c r="L257" s="25" t="str">
        <f t="shared" ca="1" si="233"/>
        <v/>
      </c>
      <c r="M257" s="4">
        <f t="shared" si="234"/>
        <v>49763.354921027647</v>
      </c>
      <c r="N257" s="5">
        <f t="shared" si="274"/>
        <v>2.18E-2</v>
      </c>
      <c r="O257" s="6">
        <f t="shared" si="235"/>
        <v>5.0499999999999996E-2</v>
      </c>
      <c r="P257" s="4">
        <f t="shared" si="229"/>
        <v>209.420785292658</v>
      </c>
      <c r="Q257" s="7">
        <f t="shared" si="236"/>
        <v>1147.1423660440612</v>
      </c>
      <c r="R257" s="4">
        <f t="shared" si="241"/>
        <v>937.72158075140317</v>
      </c>
      <c r="S257" s="4">
        <f t="shared" si="230"/>
        <v>48825.633340276247</v>
      </c>
      <c r="T257" s="4" t="e">
        <f>#REF!</f>
        <v>#REF!</v>
      </c>
      <c r="U257" s="4" t="e">
        <f t="shared" si="237"/>
        <v>#REF!</v>
      </c>
      <c r="AE257" s="91" t="str">
        <f t="shared" ca="1" si="256"/>
        <v/>
      </c>
      <c r="AF257" s="70">
        <f t="shared" si="251"/>
        <v>45105</v>
      </c>
      <c r="AG257" s="10">
        <f t="shared" si="228"/>
        <v>45105</v>
      </c>
      <c r="AH257" s="29">
        <f ca="1">IF(AG257=TODAY()-1,Loan!F227,IF(AG257&gt;$AB$13,$AB$55,AH256-AI257*AF256+AI257*AF257))</f>
        <v>2.7383392226148384E-2</v>
      </c>
      <c r="AI257" s="87">
        <f t="shared" ca="1" si="285"/>
        <v>5.8303886925857119E-5</v>
      </c>
      <c r="AJ257" s="76" t="str">
        <f t="shared" ca="1" si="244"/>
        <v/>
      </c>
      <c r="AK257" s="76" t="str">
        <f t="shared" ca="1" si="253"/>
        <v/>
      </c>
      <c r="AL257" s="76" t="str">
        <f t="shared" ca="1" si="286"/>
        <v/>
      </c>
      <c r="AM257" s="11">
        <f t="shared" ref="AM257:AM259" ca="1" si="299">10000*(AH257-AH$7)</f>
        <v>273.83392226148385</v>
      </c>
      <c r="AN257" s="11">
        <f t="shared" ca="1" si="246"/>
        <v>652.15524020039652</v>
      </c>
      <c r="AO257" s="11">
        <f t="shared" ref="AO257:AO259" ca="1" si="300">AN257-AN$7</f>
        <v>140.56915272768538</v>
      </c>
      <c r="AP257" s="12">
        <f t="shared" ref="AP257:AP259" ca="1" si="301">AO257/AN$7</f>
        <v>0.27477125779966322</v>
      </c>
      <c r="AQ257" s="11">
        <f t="shared" ca="1" si="247"/>
        <v>576.36630184604553</v>
      </c>
      <c r="AR257" s="11">
        <f t="shared" ref="AR257:AR259" ca="1" si="302">AQ257-AQ$7</f>
        <v>146.64557577702152</v>
      </c>
      <c r="AS257" s="12">
        <f t="shared" ref="AS257:AS259" ca="1" si="303">AR257/AQ$7</f>
        <v>0.34125786093330424</v>
      </c>
      <c r="AT257" s="11">
        <f t="shared" ca="1" si="248"/>
        <v>528.19741646991008</v>
      </c>
      <c r="AU257" s="11">
        <f t="shared" ref="AU257:AU259" ca="1" si="304">AT257-AT$7</f>
        <v>152.54829275779002</v>
      </c>
      <c r="AV257" s="12">
        <f t="shared" ref="AV257:AV259" ca="1" si="305">AU257/AT$7</f>
        <v>0.40609250262672225</v>
      </c>
      <c r="AW257" s="10">
        <f t="shared" si="249"/>
        <v>45105</v>
      </c>
      <c r="AX257" s="76">
        <f t="shared" ca="1" si="293"/>
        <v>98352.830267783953</v>
      </c>
      <c r="AY257" s="75">
        <f t="shared" ca="1" si="254"/>
        <v>18.619273018388395</v>
      </c>
      <c r="AZ257" s="75">
        <f t="shared" ca="1" si="250"/>
        <v>13.091271587538486</v>
      </c>
      <c r="BA257" s="75">
        <f t="shared" ca="1" si="294"/>
        <v>5.5280014308499084</v>
      </c>
      <c r="BB257" s="75">
        <f t="shared" ca="1" si="295"/>
        <v>98347.302266353101</v>
      </c>
      <c r="BC257" s="12"/>
      <c r="BD257" s="12"/>
    </row>
    <row r="258" spans="3:56">
      <c r="C258" s="3">
        <f t="shared" si="231"/>
        <v>22</v>
      </c>
      <c r="D258" s="3">
        <f t="shared" si="238"/>
        <v>10</v>
      </c>
      <c r="E258" s="1">
        <f t="shared" si="296"/>
        <v>2040</v>
      </c>
      <c r="F258" s="3">
        <f t="shared" si="297"/>
        <v>78</v>
      </c>
      <c r="G258" s="3">
        <f t="shared" si="240"/>
        <v>254</v>
      </c>
      <c r="H258" s="4">
        <f t="shared" si="298"/>
        <v>48825.633340276247</v>
      </c>
      <c r="L258" s="25" t="str">
        <f t="shared" ca="1" si="233"/>
        <v/>
      </c>
      <c r="M258" s="4">
        <f t="shared" si="234"/>
        <v>48825.633340276247</v>
      </c>
      <c r="N258" s="5">
        <f t="shared" si="274"/>
        <v>2.18E-2</v>
      </c>
      <c r="O258" s="6">
        <f t="shared" si="235"/>
        <v>5.0499999999999996E-2</v>
      </c>
      <c r="P258" s="4">
        <f t="shared" si="229"/>
        <v>205.47454030699586</v>
      </c>
      <c r="Q258" s="7">
        <f t="shared" si="236"/>
        <v>1147.1423660440626</v>
      </c>
      <c r="R258" s="4">
        <f t="shared" si="241"/>
        <v>941.66782573706666</v>
      </c>
      <c r="S258" s="4">
        <f t="shared" si="230"/>
        <v>47883.965514539181</v>
      </c>
      <c r="T258" s="4" t="e">
        <f t="shared" si="242"/>
        <v>#REF!</v>
      </c>
      <c r="U258" s="4" t="e">
        <f t="shared" si="237"/>
        <v>#REF!</v>
      </c>
      <c r="AE258" s="91" t="str">
        <f t="shared" ca="1" si="256"/>
        <v/>
      </c>
      <c r="AF258" s="70">
        <f t="shared" si="251"/>
        <v>45106</v>
      </c>
      <c r="AG258" s="10">
        <f t="shared" si="228"/>
        <v>45106</v>
      </c>
      <c r="AH258" s="29">
        <f ca="1">IF(AG258=TODAY()-1,Loan!F228,IF(AG258&gt;$AB$13,$AB$55,AH257-AI258*AF257+AI258*AF258))</f>
        <v>2.7441696113074343E-2</v>
      </c>
      <c r="AI258" s="87">
        <f t="shared" ca="1" si="285"/>
        <v>5.8303886925806236E-5</v>
      </c>
      <c r="AJ258" s="76" t="str">
        <f t="shared" ca="1" si="244"/>
        <v/>
      </c>
      <c r="AK258" s="76" t="str">
        <f t="shared" ca="1" si="253"/>
        <v/>
      </c>
      <c r="AL258" s="76" t="str">
        <f t="shared" ca="1" si="286"/>
        <v/>
      </c>
      <c r="AM258" s="11">
        <f t="shared" ca="1" si="299"/>
        <v>274.4169611307434</v>
      </c>
      <c r="AN258" s="11">
        <f t="shared" ca="1" si="246"/>
        <v>652.47529438995912</v>
      </c>
      <c r="AO258" s="11">
        <f t="shared" ca="1" si="300"/>
        <v>140.88920691724798</v>
      </c>
      <c r="AP258" s="12">
        <f t="shared" ca="1" si="301"/>
        <v>0.27539686939739783</v>
      </c>
      <c r="AQ258" s="11">
        <f t="shared" ca="1" si="247"/>
        <v>576.70359083905362</v>
      </c>
      <c r="AR258" s="11">
        <f t="shared" ca="1" si="302"/>
        <v>146.98286477002961</v>
      </c>
      <c r="AS258" s="12">
        <f t="shared" ca="1" si="303"/>
        <v>0.34204276371445125</v>
      </c>
      <c r="AT258" s="11">
        <f t="shared" ca="1" si="248"/>
        <v>528.55103926540608</v>
      </c>
      <c r="AU258" s="11">
        <f t="shared" ca="1" si="304"/>
        <v>152.90191555328602</v>
      </c>
      <c r="AV258" s="12">
        <f t="shared" ca="1" si="305"/>
        <v>0.4070338672491165</v>
      </c>
      <c r="AW258" s="10">
        <f t="shared" si="249"/>
        <v>45106</v>
      </c>
      <c r="AX258" s="76">
        <f t="shared" ca="1" si="293"/>
        <v>98347.302266353101</v>
      </c>
      <c r="AY258" s="75">
        <f t="shared" ca="1" si="254"/>
        <v>18.629114864228846</v>
      </c>
      <c r="AZ258" s="75">
        <f t="shared" ca="1" si="250"/>
        <v>13.106245453097577</v>
      </c>
      <c r="BA258" s="75">
        <f t="shared" ca="1" si="294"/>
        <v>5.5228694111312695</v>
      </c>
      <c r="BB258" s="75">
        <f t="shared" ca="1" si="295"/>
        <v>98341.779396941973</v>
      </c>
      <c r="BC258" s="12"/>
      <c r="BD258" s="12"/>
    </row>
    <row r="259" spans="3:56">
      <c r="C259" s="3">
        <f t="shared" si="231"/>
        <v>22</v>
      </c>
      <c r="D259" s="3">
        <f t="shared" si="238"/>
        <v>11</v>
      </c>
      <c r="E259" s="1">
        <f t="shared" si="296"/>
        <v>2040</v>
      </c>
      <c r="F259" s="3">
        <f t="shared" si="297"/>
        <v>78</v>
      </c>
      <c r="G259" s="3">
        <f t="shared" si="240"/>
        <v>255</v>
      </c>
      <c r="H259" s="4">
        <f t="shared" si="298"/>
        <v>47883.965514539181</v>
      </c>
      <c r="L259" s="25" t="str">
        <f t="shared" ca="1" si="233"/>
        <v/>
      </c>
      <c r="M259" s="4">
        <f t="shared" si="234"/>
        <v>47883.965514539181</v>
      </c>
      <c r="N259" s="5">
        <f t="shared" si="274"/>
        <v>2.18E-2</v>
      </c>
      <c r="O259" s="6">
        <f t="shared" si="235"/>
        <v>5.0499999999999996E-2</v>
      </c>
      <c r="P259" s="4">
        <f t="shared" si="229"/>
        <v>201.51168820701903</v>
      </c>
      <c r="Q259" s="7">
        <f t="shared" si="236"/>
        <v>1147.1423660440603</v>
      </c>
      <c r="R259" s="4">
        <f t="shared" si="241"/>
        <v>945.63067783704128</v>
      </c>
      <c r="S259" s="4">
        <f t="shared" si="230"/>
        <v>46938.334836702139</v>
      </c>
      <c r="T259" s="4" t="e">
        <f t="shared" si="242"/>
        <v>#REF!</v>
      </c>
      <c r="U259" s="4" t="e">
        <f t="shared" si="237"/>
        <v>#REF!</v>
      </c>
      <c r="AE259" s="91" t="str">
        <f t="shared" ca="1" si="256"/>
        <v/>
      </c>
      <c r="AF259" s="70">
        <f t="shared" si="251"/>
        <v>45107</v>
      </c>
      <c r="AG259" s="10">
        <f t="shared" si="228"/>
        <v>45107</v>
      </c>
      <c r="AH259" s="29">
        <f ca="1">IF(AG259=TODAY()-1,Loan!F229,IF(AG259&gt;$AB$13,$AB$55,AH258-AI259*AF258+AI259*AF259))</f>
        <v>2.7499999999999858E-2</v>
      </c>
      <c r="AI259" s="87">
        <f t="shared" ca="1" si="285"/>
        <v>5.8303886925653581E-5</v>
      </c>
      <c r="AJ259" s="76" t="str">
        <f t="shared" ca="1" si="244"/>
        <v/>
      </c>
      <c r="AK259" s="76" t="str">
        <f t="shared" ca="1" si="253"/>
        <v/>
      </c>
      <c r="AL259" s="76" t="str">
        <f t="shared" ca="1" si="286"/>
        <v/>
      </c>
      <c r="AM259" s="11">
        <f t="shared" ca="1" si="299"/>
        <v>274.99999999999858</v>
      </c>
      <c r="AN259" s="11">
        <f t="shared" ca="1" si="246"/>
        <v>652.79543406176242</v>
      </c>
      <c r="AO259" s="11">
        <f t="shared" ca="1" si="300"/>
        <v>141.20934658905128</v>
      </c>
      <c r="AP259" s="12">
        <f t="shared" ca="1" si="301"/>
        <v>0.27602264808771532</v>
      </c>
      <c r="AQ259" s="11">
        <f t="shared" ca="1" si="247"/>
        <v>577.04098128767635</v>
      </c>
      <c r="AR259" s="11">
        <f t="shared" ca="1" si="302"/>
        <v>147.32025521865233</v>
      </c>
      <c r="AS259" s="12">
        <f t="shared" ca="1" si="303"/>
        <v>0.34282790259222679</v>
      </c>
      <c r="AT259" s="11">
        <f t="shared" ca="1" si="248"/>
        <v>528.90477641106315</v>
      </c>
      <c r="AU259" s="11">
        <f t="shared" ca="1" si="304"/>
        <v>153.25565269894309</v>
      </c>
      <c r="AV259" s="12">
        <f t="shared" ca="1" si="305"/>
        <v>0.40797553627834648</v>
      </c>
      <c r="AW259" s="10">
        <f t="shared" si="249"/>
        <v>45107</v>
      </c>
      <c r="AX259" s="76">
        <f t="shared" ca="1" si="293"/>
        <v>98341.779396941973</v>
      </c>
      <c r="AY259" s="75">
        <f t="shared" ca="1" si="254"/>
        <v>18.638959756135456</v>
      </c>
      <c r="AZ259" s="75">
        <f t="shared" ca="1" si="250"/>
        <v>13.121218237345371</v>
      </c>
      <c r="BA259" s="75">
        <f t="shared" ca="1" si="294"/>
        <v>5.5177415187900856</v>
      </c>
      <c r="BB259" s="75">
        <f t="shared" ca="1" si="295"/>
        <v>98336.261655423179</v>
      </c>
      <c r="BC259" s="12"/>
      <c r="BD259" s="12"/>
    </row>
    <row r="260" spans="3:56">
      <c r="C260" s="3">
        <f t="shared" si="231"/>
        <v>22</v>
      </c>
      <c r="D260" s="3">
        <f t="shared" si="238"/>
        <v>12</v>
      </c>
      <c r="E260" s="1">
        <f t="shared" si="296"/>
        <v>2040</v>
      </c>
      <c r="F260" s="3">
        <f t="shared" si="297"/>
        <v>78</v>
      </c>
      <c r="G260" s="3">
        <f t="shared" si="240"/>
        <v>256</v>
      </c>
      <c r="H260" s="4">
        <f t="shared" si="298"/>
        <v>46938.334836702139</v>
      </c>
      <c r="L260" s="25" t="str">
        <f t="shared" ca="1" si="233"/>
        <v/>
      </c>
      <c r="M260" s="4">
        <f t="shared" si="234"/>
        <v>46938.334836702139</v>
      </c>
      <c r="N260" s="5">
        <f t="shared" si="274"/>
        <v>2.18E-2</v>
      </c>
      <c r="O260" s="6">
        <f t="shared" si="235"/>
        <v>5.0499999999999996E-2</v>
      </c>
      <c r="P260" s="4">
        <f t="shared" ref="P260:P303" si="306">M260*O260/12</f>
        <v>197.53215910445485</v>
      </c>
      <c r="Q260" s="7">
        <f t="shared" si="236"/>
        <v>1147.1423660440623</v>
      </c>
      <c r="R260" s="4">
        <f t="shared" si="241"/>
        <v>949.61020693960745</v>
      </c>
      <c r="S260" s="4">
        <f t="shared" ref="S260:S303" si="307">M260-R260</f>
        <v>45988.724629762532</v>
      </c>
      <c r="T260" s="4" t="e">
        <f t="shared" si="242"/>
        <v>#REF!</v>
      </c>
      <c r="U260" s="4" t="e">
        <f t="shared" si="237"/>
        <v>#REF!</v>
      </c>
      <c r="AF260" s="70"/>
    </row>
    <row r="261" spans="3:56">
      <c r="C261" s="3">
        <f t="shared" ref="C261:C303" si="308">IF(G261/12=INT(G261/12),INT(G261/12),INT(G261/12)+1)</f>
        <v>22</v>
      </c>
      <c r="D261" s="3">
        <f t="shared" si="238"/>
        <v>1</v>
      </c>
      <c r="E261" s="1">
        <f t="shared" si="296"/>
        <v>2041</v>
      </c>
      <c r="F261" s="3">
        <f t="shared" si="297"/>
        <v>78</v>
      </c>
      <c r="G261" s="3">
        <f t="shared" si="240"/>
        <v>257</v>
      </c>
      <c r="H261" s="4">
        <f t="shared" si="298"/>
        <v>45988.724629762532</v>
      </c>
      <c r="L261" s="25" t="str">
        <f t="shared" ref="L261:L303" ca="1" si="309">IF(AND(YEAR(TODAY())=E261,MONTH(TODAY())=D261),"current","")</f>
        <v/>
      </c>
      <c r="M261" s="4">
        <f t="shared" ref="M261:M303" si="310">H261-I261-J261-K261</f>
        <v>45988.724629762532</v>
      </c>
      <c r="N261" s="5">
        <f t="shared" si="274"/>
        <v>2.18E-2</v>
      </c>
      <c r="O261" s="6">
        <f t="shared" ref="O261:O303" si="311">N261+$B$22+$B$23</f>
        <v>5.0499999999999996E-2</v>
      </c>
      <c r="P261" s="4">
        <f t="shared" si="306"/>
        <v>193.53588281691728</v>
      </c>
      <c r="Q261" s="7">
        <f t="shared" ref="Q261:Q303" si="312">IF(C261&gt;$B$6,0,(M261/((1-(1+O261/12)^-($B$6*12-G261+1))/(O261/12))))</f>
        <v>1147.1423660440619</v>
      </c>
      <c r="R261" s="4">
        <f t="shared" si="241"/>
        <v>953.60648322714462</v>
      </c>
      <c r="S261" s="4">
        <f t="shared" si="307"/>
        <v>45035.118146535387</v>
      </c>
      <c r="T261" s="4" t="e">
        <f t="shared" si="242"/>
        <v>#REF!</v>
      </c>
      <c r="U261" s="4" t="e">
        <f t="shared" ref="U261:U303" si="313">T261+S261</f>
        <v>#REF!</v>
      </c>
      <c r="AF261" s="70"/>
    </row>
    <row r="262" spans="3:56">
      <c r="C262" s="3">
        <f t="shared" si="308"/>
        <v>22</v>
      </c>
      <c r="D262" s="3">
        <f t="shared" si="238"/>
        <v>2</v>
      </c>
      <c r="E262" s="1">
        <f t="shared" si="296"/>
        <v>2041</v>
      </c>
      <c r="F262" s="3">
        <f t="shared" si="297"/>
        <v>79</v>
      </c>
      <c r="G262" s="3">
        <f t="shared" si="240"/>
        <v>258</v>
      </c>
      <c r="H262" s="4">
        <f t="shared" si="298"/>
        <v>45035.118146535387</v>
      </c>
      <c r="L262" s="25" t="str">
        <f t="shared" ca="1" si="309"/>
        <v/>
      </c>
      <c r="M262" s="4">
        <f t="shared" si="310"/>
        <v>45035.118146535387</v>
      </c>
      <c r="N262" s="5">
        <f t="shared" si="274"/>
        <v>2.18E-2</v>
      </c>
      <c r="O262" s="6">
        <f t="shared" si="311"/>
        <v>5.0499999999999996E-2</v>
      </c>
      <c r="P262" s="4">
        <f t="shared" si="306"/>
        <v>189.52278886666974</v>
      </c>
      <c r="Q262" s="7">
        <f t="shared" si="312"/>
        <v>1147.1423660440628</v>
      </c>
      <c r="R262" s="4">
        <f t="shared" ref="R262:R303" si="314">Q262-P262</f>
        <v>957.61957717739301</v>
      </c>
      <c r="S262" s="4">
        <f t="shared" si="307"/>
        <v>44077.498569357995</v>
      </c>
      <c r="T262" s="4" t="e">
        <f t="shared" ref="T262:T303" si="315">T261</f>
        <v>#REF!</v>
      </c>
      <c r="U262" s="4" t="e">
        <f t="shared" si="313"/>
        <v>#REF!</v>
      </c>
    </row>
    <row r="263" spans="3:56">
      <c r="C263" s="3">
        <f t="shared" si="308"/>
        <v>22</v>
      </c>
      <c r="D263" s="3">
        <f t="shared" ref="D263:D304" si="316">IF(D262+1&gt;12,1,D262+1)</f>
        <v>3</v>
      </c>
      <c r="E263" s="1">
        <f t="shared" si="296"/>
        <v>2041</v>
      </c>
      <c r="F263" s="3">
        <f t="shared" si="297"/>
        <v>79</v>
      </c>
      <c r="G263" s="3">
        <f t="shared" ref="G263:G304" si="317">G262+1</f>
        <v>259</v>
      </c>
      <c r="H263" s="4">
        <f t="shared" si="298"/>
        <v>44077.498569357995</v>
      </c>
      <c r="L263" s="25" t="str">
        <f t="shared" ca="1" si="309"/>
        <v/>
      </c>
      <c r="M263" s="4">
        <f t="shared" si="310"/>
        <v>44077.498569357995</v>
      </c>
      <c r="N263" s="5">
        <f t="shared" si="274"/>
        <v>2.18E-2</v>
      </c>
      <c r="O263" s="6">
        <f t="shared" si="311"/>
        <v>5.0499999999999996E-2</v>
      </c>
      <c r="P263" s="4">
        <f t="shared" si="306"/>
        <v>185.49280647938156</v>
      </c>
      <c r="Q263" s="7">
        <f t="shared" si="312"/>
        <v>1147.1423660440632</v>
      </c>
      <c r="R263" s="4">
        <f t="shared" si="314"/>
        <v>961.64955956468168</v>
      </c>
      <c r="S263" s="4">
        <f t="shared" si="307"/>
        <v>43115.84900979331</v>
      </c>
      <c r="T263" s="4" t="e">
        <f t="shared" si="315"/>
        <v>#REF!</v>
      </c>
      <c r="U263" s="4" t="e">
        <f t="shared" si="313"/>
        <v>#REF!</v>
      </c>
    </row>
    <row r="264" spans="3:56">
      <c r="C264" s="3">
        <f t="shared" si="308"/>
        <v>22</v>
      </c>
      <c r="D264" s="3">
        <f t="shared" si="316"/>
        <v>4</v>
      </c>
      <c r="E264" s="1">
        <f t="shared" si="296"/>
        <v>2041</v>
      </c>
      <c r="F264" s="3">
        <f t="shared" si="297"/>
        <v>79</v>
      </c>
      <c r="G264" s="3">
        <f t="shared" si="317"/>
        <v>260</v>
      </c>
      <c r="H264" s="4">
        <f t="shared" si="298"/>
        <v>43115.84900979331</v>
      </c>
      <c r="L264" s="25" t="str">
        <f t="shared" ca="1" si="309"/>
        <v/>
      </c>
      <c r="M264" s="4">
        <f t="shared" si="310"/>
        <v>43115.84900979331</v>
      </c>
      <c r="N264" s="5">
        <f t="shared" si="274"/>
        <v>2.18E-2</v>
      </c>
      <c r="O264" s="6">
        <f t="shared" si="311"/>
        <v>5.0499999999999996E-2</v>
      </c>
      <c r="P264" s="4">
        <f t="shared" si="306"/>
        <v>181.44586458288018</v>
      </c>
      <c r="Q264" s="7">
        <f t="shared" si="312"/>
        <v>1147.1423660440648</v>
      </c>
      <c r="R264" s="4">
        <f t="shared" si="314"/>
        <v>965.69650146118465</v>
      </c>
      <c r="S264" s="4">
        <f t="shared" si="307"/>
        <v>42150.152508332125</v>
      </c>
      <c r="T264" s="4" t="e">
        <f t="shared" si="315"/>
        <v>#REF!</v>
      </c>
      <c r="U264" s="4" t="e">
        <f t="shared" si="313"/>
        <v>#REF!</v>
      </c>
    </row>
    <row r="265" spans="3:56">
      <c r="C265" s="3">
        <f t="shared" si="308"/>
        <v>22</v>
      </c>
      <c r="D265" s="3">
        <f t="shared" si="316"/>
        <v>5</v>
      </c>
      <c r="E265" s="1">
        <f t="shared" si="296"/>
        <v>2041</v>
      </c>
      <c r="F265" s="3">
        <f t="shared" si="297"/>
        <v>79</v>
      </c>
      <c r="G265" s="3">
        <f t="shared" si="317"/>
        <v>261</v>
      </c>
      <c r="H265" s="4">
        <f t="shared" si="298"/>
        <v>42150.152508332125</v>
      </c>
      <c r="L265" s="25" t="str">
        <f t="shared" ca="1" si="309"/>
        <v/>
      </c>
      <c r="M265" s="4">
        <f t="shared" si="310"/>
        <v>42150.152508332125</v>
      </c>
      <c r="N265" s="5">
        <f t="shared" si="274"/>
        <v>2.18E-2</v>
      </c>
      <c r="O265" s="6">
        <f t="shared" si="311"/>
        <v>5.0499999999999996E-2</v>
      </c>
      <c r="P265" s="4">
        <f t="shared" si="306"/>
        <v>177.38189180589768</v>
      </c>
      <c r="Q265" s="7">
        <f t="shared" si="312"/>
        <v>1147.1423660440641</v>
      </c>
      <c r="R265" s="4">
        <f t="shared" si="314"/>
        <v>969.76047423816647</v>
      </c>
      <c r="S265" s="4">
        <f t="shared" si="307"/>
        <v>41180.392034093959</v>
      </c>
      <c r="T265" s="4" t="e">
        <f t="shared" si="315"/>
        <v>#REF!</v>
      </c>
      <c r="U265" s="4" t="e">
        <f t="shared" si="313"/>
        <v>#REF!</v>
      </c>
    </row>
    <row r="266" spans="3:56">
      <c r="C266" s="3">
        <f t="shared" si="308"/>
        <v>22</v>
      </c>
      <c r="D266" s="3">
        <f t="shared" si="316"/>
        <v>6</v>
      </c>
      <c r="E266" s="1">
        <f t="shared" si="296"/>
        <v>2041</v>
      </c>
      <c r="F266" s="3">
        <f t="shared" si="297"/>
        <v>79</v>
      </c>
      <c r="G266" s="3">
        <f t="shared" si="317"/>
        <v>262</v>
      </c>
      <c r="H266" s="4">
        <f t="shared" si="298"/>
        <v>41180.392034093959</v>
      </c>
      <c r="L266" s="25" t="str">
        <f t="shared" ca="1" si="309"/>
        <v/>
      </c>
      <c r="M266" s="4">
        <f t="shared" si="310"/>
        <v>41180.392034093959</v>
      </c>
      <c r="N266" s="5">
        <f t="shared" si="274"/>
        <v>2.18E-2</v>
      </c>
      <c r="O266" s="6">
        <f t="shared" si="311"/>
        <v>5.0499999999999996E-2</v>
      </c>
      <c r="P266" s="4">
        <f t="shared" si="306"/>
        <v>173.30081647681206</v>
      </c>
      <c r="Q266" s="7">
        <f t="shared" si="312"/>
        <v>1147.1423660440655</v>
      </c>
      <c r="R266" s="4">
        <f t="shared" si="314"/>
        <v>973.84154956725342</v>
      </c>
      <c r="S266" s="4">
        <f t="shared" si="307"/>
        <v>40206.550484526706</v>
      </c>
      <c r="T266" s="4" t="e">
        <f t="shared" si="315"/>
        <v>#REF!</v>
      </c>
      <c r="U266" s="4" t="e">
        <f t="shared" si="313"/>
        <v>#REF!</v>
      </c>
    </row>
    <row r="267" spans="3:56">
      <c r="C267" s="3">
        <f t="shared" si="308"/>
        <v>22</v>
      </c>
      <c r="D267" s="3">
        <f t="shared" si="316"/>
        <v>7</v>
      </c>
      <c r="E267" s="1">
        <f t="shared" si="296"/>
        <v>2041</v>
      </c>
      <c r="F267" s="3">
        <f t="shared" si="297"/>
        <v>79</v>
      </c>
      <c r="G267" s="3">
        <f t="shared" si="317"/>
        <v>263</v>
      </c>
      <c r="H267" s="4">
        <f t="shared" si="298"/>
        <v>40206.550484526706</v>
      </c>
      <c r="L267" s="25" t="str">
        <f t="shared" ca="1" si="309"/>
        <v/>
      </c>
      <c r="M267" s="4">
        <f t="shared" si="310"/>
        <v>40206.550484526706</v>
      </c>
      <c r="N267" s="5">
        <f t="shared" si="274"/>
        <v>2.18E-2</v>
      </c>
      <c r="O267" s="6">
        <f t="shared" si="311"/>
        <v>5.0499999999999996E-2</v>
      </c>
      <c r="P267" s="4">
        <f t="shared" si="306"/>
        <v>169.20256662238322</v>
      </c>
      <c r="Q267" s="7">
        <f t="shared" si="312"/>
        <v>1147.1423660440646</v>
      </c>
      <c r="R267" s="4">
        <f t="shared" si="314"/>
        <v>977.93979942168141</v>
      </c>
      <c r="S267" s="4">
        <f t="shared" si="307"/>
        <v>39228.610685105028</v>
      </c>
      <c r="T267" s="4" t="e">
        <f t="shared" si="315"/>
        <v>#REF!</v>
      </c>
      <c r="U267" s="4" t="e">
        <f t="shared" si="313"/>
        <v>#REF!</v>
      </c>
    </row>
    <row r="268" spans="3:56">
      <c r="C268" s="3">
        <f t="shared" si="308"/>
        <v>22</v>
      </c>
      <c r="D268" s="3">
        <f t="shared" si="316"/>
        <v>8</v>
      </c>
      <c r="E268" s="1">
        <f t="shared" si="296"/>
        <v>2041</v>
      </c>
      <c r="F268" s="3">
        <f t="shared" si="297"/>
        <v>79</v>
      </c>
      <c r="G268" s="3">
        <f t="shared" si="317"/>
        <v>264</v>
      </c>
      <c r="H268" s="4">
        <f t="shared" si="298"/>
        <v>39228.610685105028</v>
      </c>
      <c r="L268" s="25" t="str">
        <f t="shared" ca="1" si="309"/>
        <v/>
      </c>
      <c r="M268" s="4">
        <f t="shared" si="310"/>
        <v>39228.610685105028</v>
      </c>
      <c r="N268" s="5">
        <f t="shared" si="274"/>
        <v>2.18E-2</v>
      </c>
      <c r="O268" s="6">
        <f t="shared" si="311"/>
        <v>5.0499999999999996E-2</v>
      </c>
      <c r="P268" s="4">
        <f t="shared" si="306"/>
        <v>165.08706996648365</v>
      </c>
      <c r="Q268" s="7">
        <f t="shared" si="312"/>
        <v>1147.1423660440655</v>
      </c>
      <c r="R268" s="4">
        <f t="shared" si="314"/>
        <v>982.05529607758183</v>
      </c>
      <c r="S268" s="4">
        <f t="shared" si="307"/>
        <v>38246.555389027446</v>
      </c>
      <c r="T268" s="4" t="e">
        <f t="shared" si="315"/>
        <v>#REF!</v>
      </c>
      <c r="U268" s="4" t="e">
        <f t="shared" si="313"/>
        <v>#REF!</v>
      </c>
    </row>
    <row r="269" spans="3:56">
      <c r="C269" s="3">
        <f t="shared" si="308"/>
        <v>23</v>
      </c>
      <c r="D269" s="3">
        <f t="shared" si="316"/>
        <v>9</v>
      </c>
      <c r="E269" s="1">
        <f t="shared" si="296"/>
        <v>2041</v>
      </c>
      <c r="F269" s="3">
        <f t="shared" si="297"/>
        <v>79</v>
      </c>
      <c r="G269" s="3">
        <f t="shared" si="317"/>
        <v>265</v>
      </c>
      <c r="H269" s="4">
        <f t="shared" si="298"/>
        <v>38246.555389027446</v>
      </c>
      <c r="L269" s="25" t="str">
        <f t="shared" ca="1" si="309"/>
        <v/>
      </c>
      <c r="M269" s="4">
        <f t="shared" si="310"/>
        <v>38246.555389027446</v>
      </c>
      <c r="N269" s="5">
        <f t="shared" si="274"/>
        <v>2.18E-2</v>
      </c>
      <c r="O269" s="6">
        <f t="shared" si="311"/>
        <v>5.0499999999999996E-2</v>
      </c>
      <c r="P269" s="4">
        <f t="shared" si="306"/>
        <v>160.95425392882382</v>
      </c>
      <c r="Q269" s="7">
        <f t="shared" si="312"/>
        <v>1147.1423660440651</v>
      </c>
      <c r="R269" s="4">
        <f t="shared" si="314"/>
        <v>986.18811211524121</v>
      </c>
      <c r="S269" s="4">
        <f t="shared" si="307"/>
        <v>37260.367276912206</v>
      </c>
      <c r="T269" s="4" t="e">
        <f t="shared" si="315"/>
        <v>#REF!</v>
      </c>
      <c r="U269" s="4" t="e">
        <f t="shared" si="313"/>
        <v>#REF!</v>
      </c>
    </row>
    <row r="270" spans="3:56">
      <c r="C270" s="3">
        <f t="shared" si="308"/>
        <v>23</v>
      </c>
      <c r="D270" s="3">
        <f t="shared" si="316"/>
        <v>10</v>
      </c>
      <c r="E270" s="1">
        <f t="shared" si="296"/>
        <v>2041</v>
      </c>
      <c r="F270" s="3">
        <f t="shared" si="297"/>
        <v>79</v>
      </c>
      <c r="G270" s="3">
        <f t="shared" si="317"/>
        <v>266</v>
      </c>
      <c r="H270" s="4">
        <f t="shared" si="298"/>
        <v>37260.367276912206</v>
      </c>
      <c r="L270" s="25" t="str">
        <f t="shared" ca="1" si="309"/>
        <v/>
      </c>
      <c r="M270" s="4">
        <f t="shared" si="310"/>
        <v>37260.367276912206</v>
      </c>
      <c r="N270" s="5">
        <f t="shared" si="274"/>
        <v>2.18E-2</v>
      </c>
      <c r="O270" s="6">
        <f t="shared" si="311"/>
        <v>5.0499999999999996E-2</v>
      </c>
      <c r="P270" s="4">
        <f t="shared" si="306"/>
        <v>156.80404562367218</v>
      </c>
      <c r="Q270" s="7">
        <f t="shared" si="312"/>
        <v>1147.1423660440669</v>
      </c>
      <c r="R270" s="4">
        <f t="shared" si="314"/>
        <v>990.33832042039467</v>
      </c>
      <c r="S270" s="4">
        <f t="shared" si="307"/>
        <v>36270.028956491813</v>
      </c>
      <c r="T270" s="4" t="e">
        <f t="shared" si="315"/>
        <v>#REF!</v>
      </c>
      <c r="U270" s="4" t="e">
        <f t="shared" si="313"/>
        <v>#REF!</v>
      </c>
    </row>
    <row r="271" spans="3:56">
      <c r="C271" s="3">
        <f t="shared" si="308"/>
        <v>23</v>
      </c>
      <c r="D271" s="3">
        <f t="shared" si="316"/>
        <v>11</v>
      </c>
      <c r="E271" s="1">
        <f t="shared" si="296"/>
        <v>2041</v>
      </c>
      <c r="F271" s="3">
        <f t="shared" si="297"/>
        <v>79</v>
      </c>
      <c r="G271" s="3">
        <f t="shared" si="317"/>
        <v>267</v>
      </c>
      <c r="H271" s="4">
        <f t="shared" si="298"/>
        <v>36270.028956491813</v>
      </c>
      <c r="L271" s="25" t="str">
        <f t="shared" ca="1" si="309"/>
        <v/>
      </c>
      <c r="M271" s="4">
        <f t="shared" si="310"/>
        <v>36270.028956491813</v>
      </c>
      <c r="N271" s="5">
        <f t="shared" si="274"/>
        <v>2.18E-2</v>
      </c>
      <c r="O271" s="6">
        <f t="shared" si="311"/>
        <v>5.0499999999999996E-2</v>
      </c>
      <c r="P271" s="4">
        <f t="shared" si="306"/>
        <v>152.6363718585697</v>
      </c>
      <c r="Q271" s="7">
        <f t="shared" si="312"/>
        <v>1147.1423660440671</v>
      </c>
      <c r="R271" s="4">
        <f t="shared" si="314"/>
        <v>994.50599418549746</v>
      </c>
      <c r="S271" s="4">
        <f t="shared" si="307"/>
        <v>35275.522962306313</v>
      </c>
      <c r="T271" s="4" t="e">
        <f t="shared" si="315"/>
        <v>#REF!</v>
      </c>
      <c r="U271" s="4" t="e">
        <f t="shared" si="313"/>
        <v>#REF!</v>
      </c>
    </row>
    <row r="272" spans="3:56">
      <c r="C272" s="3">
        <f t="shared" si="308"/>
        <v>23</v>
      </c>
      <c r="D272" s="3">
        <f t="shared" si="316"/>
        <v>12</v>
      </c>
      <c r="E272" s="1">
        <f t="shared" si="296"/>
        <v>2041</v>
      </c>
      <c r="F272" s="3">
        <f t="shared" si="297"/>
        <v>79</v>
      </c>
      <c r="G272" s="3">
        <f t="shared" si="317"/>
        <v>268</v>
      </c>
      <c r="H272" s="4">
        <f t="shared" si="298"/>
        <v>35275.522962306313</v>
      </c>
      <c r="L272" s="25" t="str">
        <f t="shared" ca="1" si="309"/>
        <v/>
      </c>
      <c r="M272" s="4">
        <f t="shared" si="310"/>
        <v>35275.522962306313</v>
      </c>
      <c r="N272" s="5">
        <f t="shared" si="274"/>
        <v>2.18E-2</v>
      </c>
      <c r="O272" s="6">
        <f t="shared" si="311"/>
        <v>5.0499999999999996E-2</v>
      </c>
      <c r="P272" s="4">
        <f t="shared" si="306"/>
        <v>148.45115913303906</v>
      </c>
      <c r="Q272" s="7">
        <f t="shared" si="312"/>
        <v>1147.142366044068</v>
      </c>
      <c r="R272" s="4">
        <f t="shared" si="314"/>
        <v>998.69120691102898</v>
      </c>
      <c r="S272" s="4">
        <f t="shared" si="307"/>
        <v>34276.831755395287</v>
      </c>
      <c r="T272" s="4" t="e">
        <f t="shared" si="315"/>
        <v>#REF!</v>
      </c>
      <c r="U272" s="4" t="e">
        <f t="shared" si="313"/>
        <v>#REF!</v>
      </c>
    </row>
    <row r="273" spans="3:21">
      <c r="C273" s="3">
        <f t="shared" si="308"/>
        <v>23</v>
      </c>
      <c r="D273" s="3">
        <f t="shared" si="316"/>
        <v>1</v>
      </c>
      <c r="E273" s="1">
        <f t="shared" si="296"/>
        <v>2042</v>
      </c>
      <c r="F273" s="3">
        <f t="shared" si="297"/>
        <v>79</v>
      </c>
      <c r="G273" s="3">
        <f t="shared" si="317"/>
        <v>269</v>
      </c>
      <c r="H273" s="4">
        <f t="shared" si="298"/>
        <v>34276.831755395287</v>
      </c>
      <c r="L273" s="25" t="str">
        <f t="shared" ca="1" si="309"/>
        <v/>
      </c>
      <c r="M273" s="4">
        <f t="shared" si="310"/>
        <v>34276.831755395287</v>
      </c>
      <c r="N273" s="5">
        <f t="shared" si="274"/>
        <v>2.18E-2</v>
      </c>
      <c r="O273" s="6">
        <f t="shared" si="311"/>
        <v>5.0499999999999996E-2</v>
      </c>
      <c r="P273" s="4">
        <f t="shared" si="306"/>
        <v>144.24833363728848</v>
      </c>
      <c r="Q273" s="7">
        <f t="shared" si="312"/>
        <v>1147.142366044068</v>
      </c>
      <c r="R273" s="4">
        <f t="shared" si="314"/>
        <v>1002.8940324067795</v>
      </c>
      <c r="S273" s="4">
        <f t="shared" si="307"/>
        <v>33273.937722988507</v>
      </c>
      <c r="T273" s="4" t="e">
        <f t="shared" si="315"/>
        <v>#REF!</v>
      </c>
      <c r="U273" s="4" t="e">
        <f t="shared" si="313"/>
        <v>#REF!</v>
      </c>
    </row>
    <row r="274" spans="3:21">
      <c r="C274" s="3">
        <f t="shared" si="308"/>
        <v>23</v>
      </c>
      <c r="D274" s="3">
        <f t="shared" si="316"/>
        <v>2</v>
      </c>
      <c r="E274" s="1">
        <f t="shared" si="296"/>
        <v>2042</v>
      </c>
      <c r="F274" s="3">
        <f t="shared" si="297"/>
        <v>80</v>
      </c>
      <c r="G274" s="3">
        <f t="shared" si="317"/>
        <v>270</v>
      </c>
      <c r="H274" s="4">
        <f t="shared" si="298"/>
        <v>33273.937722988507</v>
      </c>
      <c r="L274" s="25" t="str">
        <f t="shared" ca="1" si="309"/>
        <v/>
      </c>
      <c r="M274" s="4">
        <f t="shared" si="310"/>
        <v>33273.937722988507</v>
      </c>
      <c r="N274" s="5">
        <f t="shared" si="274"/>
        <v>2.18E-2</v>
      </c>
      <c r="O274" s="6">
        <f t="shared" si="311"/>
        <v>5.0499999999999996E-2</v>
      </c>
      <c r="P274" s="4">
        <f t="shared" si="306"/>
        <v>140.02782125090997</v>
      </c>
      <c r="Q274" s="7">
        <f t="shared" si="312"/>
        <v>1147.1423660440703</v>
      </c>
      <c r="R274" s="4">
        <f t="shared" si="314"/>
        <v>1007.1145447931603</v>
      </c>
      <c r="S274" s="4">
        <f t="shared" si="307"/>
        <v>32266.823178195347</v>
      </c>
      <c r="T274" s="4" t="e">
        <f t="shared" si="315"/>
        <v>#REF!</v>
      </c>
      <c r="U274" s="4" t="e">
        <f t="shared" si="313"/>
        <v>#REF!</v>
      </c>
    </row>
    <row r="275" spans="3:21">
      <c r="C275" s="3">
        <f t="shared" si="308"/>
        <v>23</v>
      </c>
      <c r="D275" s="3">
        <f t="shared" si="316"/>
        <v>3</v>
      </c>
      <c r="E275" s="1">
        <f t="shared" si="296"/>
        <v>2042</v>
      </c>
      <c r="F275" s="3">
        <f t="shared" si="297"/>
        <v>80</v>
      </c>
      <c r="G275" s="3">
        <f t="shared" si="317"/>
        <v>271</v>
      </c>
      <c r="H275" s="4">
        <f t="shared" si="298"/>
        <v>32266.823178195347</v>
      </c>
      <c r="L275" s="25" t="str">
        <f t="shared" ca="1" si="309"/>
        <v/>
      </c>
      <c r="M275" s="4">
        <f t="shared" si="310"/>
        <v>32266.823178195347</v>
      </c>
      <c r="N275" s="5">
        <f t="shared" si="274"/>
        <v>2.18E-2</v>
      </c>
      <c r="O275" s="6">
        <f t="shared" si="311"/>
        <v>5.0499999999999996E-2</v>
      </c>
      <c r="P275" s="4">
        <f t="shared" si="306"/>
        <v>135.78954754157209</v>
      </c>
      <c r="Q275" s="7">
        <f t="shared" si="312"/>
        <v>1147.1423660440676</v>
      </c>
      <c r="R275" s="4">
        <f t="shared" si="314"/>
        <v>1011.3528185024954</v>
      </c>
      <c r="S275" s="4">
        <f t="shared" si="307"/>
        <v>31255.470359692852</v>
      </c>
      <c r="T275" s="4" t="e">
        <f t="shared" si="315"/>
        <v>#REF!</v>
      </c>
      <c r="U275" s="4" t="e">
        <f t="shared" si="313"/>
        <v>#REF!</v>
      </c>
    </row>
    <row r="276" spans="3:21">
      <c r="C276" s="3">
        <f t="shared" si="308"/>
        <v>23</v>
      </c>
      <c r="D276" s="3">
        <f t="shared" si="316"/>
        <v>4</v>
      </c>
      <c r="E276" s="1">
        <f t="shared" si="296"/>
        <v>2042</v>
      </c>
      <c r="F276" s="3">
        <f t="shared" si="297"/>
        <v>80</v>
      </c>
      <c r="G276" s="3">
        <f t="shared" si="317"/>
        <v>272</v>
      </c>
      <c r="H276" s="4">
        <f t="shared" si="298"/>
        <v>31255.470359692852</v>
      </c>
      <c r="L276" s="25" t="str">
        <f t="shared" ca="1" si="309"/>
        <v/>
      </c>
      <c r="M276" s="4">
        <f t="shared" si="310"/>
        <v>31255.470359692852</v>
      </c>
      <c r="N276" s="5">
        <f t="shared" si="274"/>
        <v>2.18E-2</v>
      </c>
      <c r="O276" s="6">
        <f t="shared" si="311"/>
        <v>5.0499999999999996E-2</v>
      </c>
      <c r="P276" s="4">
        <f t="shared" si="306"/>
        <v>131.53343776370741</v>
      </c>
      <c r="Q276" s="7">
        <f t="shared" si="312"/>
        <v>1147.1423660440682</v>
      </c>
      <c r="R276" s="4">
        <f t="shared" si="314"/>
        <v>1015.6089282803608</v>
      </c>
      <c r="S276" s="4">
        <f t="shared" si="307"/>
        <v>30239.86143141249</v>
      </c>
      <c r="T276" s="4" t="e">
        <f t="shared" si="315"/>
        <v>#REF!</v>
      </c>
      <c r="U276" s="4" t="e">
        <f t="shared" si="313"/>
        <v>#REF!</v>
      </c>
    </row>
    <row r="277" spans="3:21">
      <c r="C277" s="3">
        <f t="shared" si="308"/>
        <v>23</v>
      </c>
      <c r="D277" s="3">
        <f t="shared" si="316"/>
        <v>5</v>
      </c>
      <c r="E277" s="1">
        <f t="shared" si="296"/>
        <v>2042</v>
      </c>
      <c r="F277" s="3">
        <f t="shared" si="297"/>
        <v>80</v>
      </c>
      <c r="G277" s="3">
        <f t="shared" si="317"/>
        <v>273</v>
      </c>
      <c r="H277" s="4">
        <f t="shared" si="298"/>
        <v>30239.86143141249</v>
      </c>
      <c r="L277" s="25" t="str">
        <f t="shared" ca="1" si="309"/>
        <v/>
      </c>
      <c r="M277" s="4">
        <f t="shared" si="310"/>
        <v>30239.86143141249</v>
      </c>
      <c r="N277" s="5">
        <f t="shared" si="274"/>
        <v>2.18E-2</v>
      </c>
      <c r="O277" s="6">
        <f t="shared" si="311"/>
        <v>5.0499999999999996E-2</v>
      </c>
      <c r="P277" s="4">
        <f t="shared" si="306"/>
        <v>127.25941685719421</v>
      </c>
      <c r="Q277" s="7">
        <f t="shared" si="312"/>
        <v>1147.1423660440687</v>
      </c>
      <c r="R277" s="4">
        <f t="shared" si="314"/>
        <v>1019.8829491868745</v>
      </c>
      <c r="S277" s="4">
        <f t="shared" si="307"/>
        <v>29219.978482225615</v>
      </c>
      <c r="T277" s="4" t="e">
        <f t="shared" si="315"/>
        <v>#REF!</v>
      </c>
      <c r="U277" s="4" t="e">
        <f t="shared" si="313"/>
        <v>#REF!</v>
      </c>
    </row>
    <row r="278" spans="3:21">
      <c r="C278" s="3">
        <f t="shared" si="308"/>
        <v>23</v>
      </c>
      <c r="D278" s="3">
        <f t="shared" si="316"/>
        <v>6</v>
      </c>
      <c r="E278" s="1">
        <f t="shared" si="296"/>
        <v>2042</v>
      </c>
      <c r="F278" s="3">
        <f t="shared" si="297"/>
        <v>80</v>
      </c>
      <c r="G278" s="3">
        <f t="shared" si="317"/>
        <v>274</v>
      </c>
      <c r="H278" s="4">
        <f t="shared" si="298"/>
        <v>29219.978482225615</v>
      </c>
      <c r="L278" s="25" t="str">
        <f t="shared" ca="1" si="309"/>
        <v/>
      </c>
      <c r="M278" s="4">
        <f t="shared" si="310"/>
        <v>29219.978482225615</v>
      </c>
      <c r="N278" s="5">
        <f t="shared" si="274"/>
        <v>2.18E-2</v>
      </c>
      <c r="O278" s="6">
        <f t="shared" si="311"/>
        <v>5.0499999999999996E-2</v>
      </c>
      <c r="P278" s="4">
        <f t="shared" si="306"/>
        <v>122.96740944603279</v>
      </c>
      <c r="Q278" s="7">
        <f t="shared" si="312"/>
        <v>1147.142366044071</v>
      </c>
      <c r="R278" s="4">
        <f t="shared" si="314"/>
        <v>1024.1749565980381</v>
      </c>
      <c r="S278" s="4">
        <f t="shared" si="307"/>
        <v>28195.803525627576</v>
      </c>
      <c r="T278" s="4" t="e">
        <f t="shared" si="315"/>
        <v>#REF!</v>
      </c>
      <c r="U278" s="4" t="e">
        <f t="shared" si="313"/>
        <v>#REF!</v>
      </c>
    </row>
    <row r="279" spans="3:21">
      <c r="C279" s="3">
        <f t="shared" si="308"/>
        <v>23</v>
      </c>
      <c r="D279" s="3">
        <f t="shared" si="316"/>
        <v>7</v>
      </c>
      <c r="E279" s="1">
        <f t="shared" si="296"/>
        <v>2042</v>
      </c>
      <c r="F279" s="3">
        <f t="shared" si="297"/>
        <v>80</v>
      </c>
      <c r="G279" s="3">
        <f t="shared" si="317"/>
        <v>275</v>
      </c>
      <c r="H279" s="4">
        <f t="shared" si="298"/>
        <v>28195.803525627576</v>
      </c>
      <c r="L279" s="25" t="str">
        <f t="shared" ca="1" si="309"/>
        <v/>
      </c>
      <c r="M279" s="4">
        <f t="shared" si="310"/>
        <v>28195.803525627576</v>
      </c>
      <c r="N279" s="5">
        <f t="shared" si="274"/>
        <v>2.18E-2</v>
      </c>
      <c r="O279" s="6">
        <f t="shared" si="311"/>
        <v>5.0499999999999996E-2</v>
      </c>
      <c r="P279" s="4">
        <f t="shared" si="306"/>
        <v>118.65733983701604</v>
      </c>
      <c r="Q279" s="7">
        <f t="shared" si="312"/>
        <v>1147.1423660440707</v>
      </c>
      <c r="R279" s="4">
        <f t="shared" si="314"/>
        <v>1028.4850262070547</v>
      </c>
      <c r="S279" s="4">
        <f t="shared" si="307"/>
        <v>27167.318499420522</v>
      </c>
      <c r="T279" s="4" t="e">
        <f t="shared" si="315"/>
        <v>#REF!</v>
      </c>
      <c r="U279" s="4" t="e">
        <f t="shared" si="313"/>
        <v>#REF!</v>
      </c>
    </row>
    <row r="280" spans="3:21">
      <c r="C280" s="3">
        <f t="shared" si="308"/>
        <v>23</v>
      </c>
      <c r="D280" s="3">
        <f t="shared" si="316"/>
        <v>8</v>
      </c>
      <c r="E280" s="1">
        <f t="shared" si="296"/>
        <v>2042</v>
      </c>
      <c r="F280" s="3">
        <f t="shared" si="297"/>
        <v>80</v>
      </c>
      <c r="G280" s="3">
        <f t="shared" si="317"/>
        <v>276</v>
      </c>
      <c r="H280" s="4">
        <f t="shared" si="298"/>
        <v>27167.318499420522</v>
      </c>
      <c r="L280" s="25" t="str">
        <f t="shared" ca="1" si="309"/>
        <v/>
      </c>
      <c r="M280" s="4">
        <f t="shared" si="310"/>
        <v>27167.318499420522</v>
      </c>
      <c r="N280" s="5">
        <f t="shared" si="274"/>
        <v>2.18E-2</v>
      </c>
      <c r="O280" s="6">
        <f t="shared" si="311"/>
        <v>5.0499999999999996E-2</v>
      </c>
      <c r="P280" s="4">
        <f t="shared" si="306"/>
        <v>114.3291320183947</v>
      </c>
      <c r="Q280" s="7">
        <f t="shared" si="312"/>
        <v>1147.1423660440739</v>
      </c>
      <c r="R280" s="4">
        <f t="shared" si="314"/>
        <v>1032.8132340256793</v>
      </c>
      <c r="S280" s="4">
        <f t="shared" si="307"/>
        <v>26134.505265394844</v>
      </c>
      <c r="T280" s="4" t="e">
        <f t="shared" si="315"/>
        <v>#REF!</v>
      </c>
      <c r="U280" s="4" t="e">
        <f t="shared" si="313"/>
        <v>#REF!</v>
      </c>
    </row>
    <row r="281" spans="3:21">
      <c r="C281" s="3">
        <f t="shared" si="308"/>
        <v>24</v>
      </c>
      <c r="D281" s="3">
        <f t="shared" si="316"/>
        <v>9</v>
      </c>
      <c r="E281" s="1">
        <f t="shared" si="296"/>
        <v>2042</v>
      </c>
      <c r="F281" s="3">
        <f t="shared" si="297"/>
        <v>80</v>
      </c>
      <c r="G281" s="3">
        <f t="shared" si="317"/>
        <v>277</v>
      </c>
      <c r="H281" s="4">
        <f t="shared" si="298"/>
        <v>26134.505265394844</v>
      </c>
      <c r="L281" s="25" t="str">
        <f t="shared" ca="1" si="309"/>
        <v/>
      </c>
      <c r="M281" s="4">
        <f t="shared" si="310"/>
        <v>26134.505265394844</v>
      </c>
      <c r="N281" s="5">
        <f t="shared" si="274"/>
        <v>2.18E-2</v>
      </c>
      <c r="O281" s="6">
        <f t="shared" si="311"/>
        <v>5.0499999999999996E-2</v>
      </c>
      <c r="P281" s="4">
        <f t="shared" si="306"/>
        <v>109.98270965853663</v>
      </c>
      <c r="Q281" s="7">
        <f t="shared" si="312"/>
        <v>1147.1423660440721</v>
      </c>
      <c r="R281" s="4">
        <f t="shared" si="314"/>
        <v>1037.1596563855355</v>
      </c>
      <c r="S281" s="4">
        <f t="shared" si="307"/>
        <v>25097.34560900931</v>
      </c>
      <c r="T281" s="4" t="e">
        <f t="shared" si="315"/>
        <v>#REF!</v>
      </c>
      <c r="U281" s="4" t="e">
        <f t="shared" si="313"/>
        <v>#REF!</v>
      </c>
    </row>
    <row r="282" spans="3:21">
      <c r="C282" s="3">
        <f t="shared" si="308"/>
        <v>24</v>
      </c>
      <c r="D282" s="3">
        <f t="shared" si="316"/>
        <v>10</v>
      </c>
      <c r="E282" s="1">
        <f t="shared" si="296"/>
        <v>2042</v>
      </c>
      <c r="F282" s="3">
        <f t="shared" si="297"/>
        <v>80</v>
      </c>
      <c r="G282" s="3">
        <f t="shared" si="317"/>
        <v>278</v>
      </c>
      <c r="H282" s="4">
        <f t="shared" si="298"/>
        <v>25097.34560900931</v>
      </c>
      <c r="L282" s="25" t="str">
        <f t="shared" ca="1" si="309"/>
        <v/>
      </c>
      <c r="M282" s="4">
        <f t="shared" si="310"/>
        <v>25097.34560900931</v>
      </c>
      <c r="N282" s="5">
        <f t="shared" si="274"/>
        <v>2.18E-2</v>
      </c>
      <c r="O282" s="6">
        <f t="shared" si="311"/>
        <v>5.0499999999999996E-2</v>
      </c>
      <c r="P282" s="4">
        <f t="shared" si="306"/>
        <v>105.61799610458083</v>
      </c>
      <c r="Q282" s="7">
        <f t="shared" si="312"/>
        <v>1147.1423660440755</v>
      </c>
      <c r="R282" s="4">
        <f t="shared" si="314"/>
        <v>1041.5243699394946</v>
      </c>
      <c r="S282" s="4">
        <f t="shared" si="307"/>
        <v>24055.821239069814</v>
      </c>
      <c r="T282" s="4" t="e">
        <f t="shared" si="315"/>
        <v>#REF!</v>
      </c>
      <c r="U282" s="4" t="e">
        <f t="shared" si="313"/>
        <v>#REF!</v>
      </c>
    </row>
    <row r="283" spans="3:21">
      <c r="C283" s="3">
        <f t="shared" si="308"/>
        <v>24</v>
      </c>
      <c r="D283" s="3">
        <f t="shared" si="316"/>
        <v>11</v>
      </c>
      <c r="E283" s="1">
        <f t="shared" si="296"/>
        <v>2042</v>
      </c>
      <c r="F283" s="3">
        <f t="shared" si="297"/>
        <v>80</v>
      </c>
      <c r="G283" s="3">
        <f t="shared" si="317"/>
        <v>279</v>
      </c>
      <c r="H283" s="4">
        <f t="shared" si="298"/>
        <v>24055.821239069814</v>
      </c>
      <c r="L283" s="25" t="str">
        <f t="shared" ca="1" si="309"/>
        <v/>
      </c>
      <c r="M283" s="4">
        <f t="shared" si="310"/>
        <v>24055.821239069814</v>
      </c>
      <c r="N283" s="5">
        <f t="shared" si="274"/>
        <v>2.18E-2</v>
      </c>
      <c r="O283" s="6">
        <f t="shared" si="311"/>
        <v>5.0499999999999996E-2</v>
      </c>
      <c r="P283" s="4">
        <f t="shared" si="306"/>
        <v>101.23491438108546</v>
      </c>
      <c r="Q283" s="7">
        <f t="shared" si="312"/>
        <v>1147.1423660440721</v>
      </c>
      <c r="R283" s="4">
        <f t="shared" si="314"/>
        <v>1045.9074516629867</v>
      </c>
      <c r="S283" s="4">
        <f t="shared" si="307"/>
        <v>23009.913787406826</v>
      </c>
      <c r="T283" s="4" t="e">
        <f t="shared" si="315"/>
        <v>#REF!</v>
      </c>
      <c r="U283" s="4" t="e">
        <f t="shared" si="313"/>
        <v>#REF!</v>
      </c>
    </row>
    <row r="284" spans="3:21">
      <c r="C284" s="3">
        <f t="shared" si="308"/>
        <v>24</v>
      </c>
      <c r="D284" s="3">
        <f t="shared" si="316"/>
        <v>12</v>
      </c>
      <c r="E284" s="1">
        <f t="shared" si="296"/>
        <v>2042</v>
      </c>
      <c r="F284" s="3">
        <f t="shared" si="297"/>
        <v>80</v>
      </c>
      <c r="G284" s="3">
        <f t="shared" si="317"/>
        <v>280</v>
      </c>
      <c r="H284" s="4">
        <f t="shared" si="298"/>
        <v>23009.913787406826</v>
      </c>
      <c r="L284" s="25" t="str">
        <f t="shared" ca="1" si="309"/>
        <v/>
      </c>
      <c r="M284" s="4">
        <f t="shared" si="310"/>
        <v>23009.913787406826</v>
      </c>
      <c r="N284" s="5">
        <f t="shared" si="274"/>
        <v>2.18E-2</v>
      </c>
      <c r="O284" s="6">
        <f t="shared" si="311"/>
        <v>5.0499999999999996E-2</v>
      </c>
      <c r="P284" s="4">
        <f t="shared" si="306"/>
        <v>96.833387188670386</v>
      </c>
      <c r="Q284" s="7">
        <f t="shared" si="312"/>
        <v>1147.1423660440737</v>
      </c>
      <c r="R284" s="4">
        <f t="shared" si="314"/>
        <v>1050.3089788554032</v>
      </c>
      <c r="S284" s="4">
        <f t="shared" si="307"/>
        <v>21959.604808551423</v>
      </c>
      <c r="T284" s="4" t="e">
        <f t="shared" si="315"/>
        <v>#REF!</v>
      </c>
      <c r="U284" s="4" t="e">
        <f t="shared" si="313"/>
        <v>#REF!</v>
      </c>
    </row>
    <row r="285" spans="3:21">
      <c r="C285" s="3">
        <f t="shared" si="308"/>
        <v>24</v>
      </c>
      <c r="D285" s="3">
        <f t="shared" si="316"/>
        <v>1</v>
      </c>
      <c r="E285" s="1">
        <f t="shared" si="296"/>
        <v>2043</v>
      </c>
      <c r="F285" s="3">
        <f t="shared" si="297"/>
        <v>80</v>
      </c>
      <c r="G285" s="3">
        <f t="shared" si="317"/>
        <v>281</v>
      </c>
      <c r="H285" s="4">
        <f t="shared" si="298"/>
        <v>21959.604808551423</v>
      </c>
      <c r="L285" s="25" t="str">
        <f t="shared" ca="1" si="309"/>
        <v/>
      </c>
      <c r="M285" s="4">
        <f t="shared" si="310"/>
        <v>21959.604808551423</v>
      </c>
      <c r="N285" s="5">
        <f t="shared" si="274"/>
        <v>2.18E-2</v>
      </c>
      <c r="O285" s="6">
        <f t="shared" si="311"/>
        <v>5.0499999999999996E-2</v>
      </c>
      <c r="P285" s="4">
        <f t="shared" si="306"/>
        <v>92.413336902653896</v>
      </c>
      <c r="Q285" s="7">
        <f t="shared" si="312"/>
        <v>1147.1423660440771</v>
      </c>
      <c r="R285" s="4">
        <f t="shared" si="314"/>
        <v>1054.7290291414233</v>
      </c>
      <c r="S285" s="4">
        <f t="shared" si="307"/>
        <v>20904.875779409998</v>
      </c>
      <c r="T285" s="4" t="e">
        <f t="shared" si="315"/>
        <v>#REF!</v>
      </c>
      <c r="U285" s="4" t="e">
        <f t="shared" si="313"/>
        <v>#REF!</v>
      </c>
    </row>
    <row r="286" spans="3:21">
      <c r="C286" s="3">
        <f t="shared" si="308"/>
        <v>24</v>
      </c>
      <c r="D286" s="3">
        <f t="shared" si="316"/>
        <v>2</v>
      </c>
      <c r="E286" s="1">
        <f t="shared" si="296"/>
        <v>2043</v>
      </c>
      <c r="F286" s="3">
        <f t="shared" si="297"/>
        <v>81</v>
      </c>
      <c r="G286" s="3">
        <f t="shared" si="317"/>
        <v>282</v>
      </c>
      <c r="H286" s="4">
        <f t="shared" si="298"/>
        <v>20904.875779409998</v>
      </c>
      <c r="L286" s="25" t="str">
        <f t="shared" ca="1" si="309"/>
        <v/>
      </c>
      <c r="M286" s="4">
        <f t="shared" si="310"/>
        <v>20904.875779409998</v>
      </c>
      <c r="N286" s="5">
        <f t="shared" si="274"/>
        <v>2.18E-2</v>
      </c>
      <c r="O286" s="6">
        <f t="shared" si="311"/>
        <v>5.0499999999999996E-2</v>
      </c>
      <c r="P286" s="4">
        <f t="shared" si="306"/>
        <v>87.974685571683736</v>
      </c>
      <c r="Q286" s="7">
        <f t="shared" si="312"/>
        <v>1147.1423660440792</v>
      </c>
      <c r="R286" s="4">
        <f t="shared" si="314"/>
        <v>1059.1676804723954</v>
      </c>
      <c r="S286" s="4">
        <f t="shared" si="307"/>
        <v>19845.708098937605</v>
      </c>
      <c r="T286" s="4" t="e">
        <f t="shared" si="315"/>
        <v>#REF!</v>
      </c>
      <c r="U286" s="4" t="e">
        <f t="shared" si="313"/>
        <v>#REF!</v>
      </c>
    </row>
    <row r="287" spans="3:21">
      <c r="C287" s="3">
        <f t="shared" si="308"/>
        <v>24</v>
      </c>
      <c r="D287" s="3">
        <f t="shared" si="316"/>
        <v>3</v>
      </c>
      <c r="E287" s="1">
        <f t="shared" si="296"/>
        <v>2043</v>
      </c>
      <c r="F287" s="3">
        <f t="shared" si="297"/>
        <v>81</v>
      </c>
      <c r="G287" s="3">
        <f t="shared" si="317"/>
        <v>283</v>
      </c>
      <c r="H287" s="4">
        <f t="shared" si="298"/>
        <v>19845.708098937605</v>
      </c>
      <c r="L287" s="25" t="str">
        <f t="shared" ca="1" si="309"/>
        <v/>
      </c>
      <c r="M287" s="4">
        <f t="shared" si="310"/>
        <v>19845.708098937605</v>
      </c>
      <c r="N287" s="5">
        <f t="shared" si="274"/>
        <v>2.18E-2</v>
      </c>
      <c r="O287" s="6">
        <f t="shared" si="311"/>
        <v>5.0499999999999996E-2</v>
      </c>
      <c r="P287" s="4">
        <f t="shared" si="306"/>
        <v>83.517354916362407</v>
      </c>
      <c r="Q287" s="7">
        <f t="shared" si="312"/>
        <v>1147.1423660440792</v>
      </c>
      <c r="R287" s="4">
        <f t="shared" si="314"/>
        <v>1063.6250111277168</v>
      </c>
      <c r="S287" s="4">
        <f t="shared" si="307"/>
        <v>18782.083087809886</v>
      </c>
      <c r="T287" s="4" t="e">
        <f t="shared" si="315"/>
        <v>#REF!</v>
      </c>
      <c r="U287" s="4" t="e">
        <f t="shared" si="313"/>
        <v>#REF!</v>
      </c>
    </row>
    <row r="288" spans="3:21">
      <c r="C288" s="3">
        <f t="shared" si="308"/>
        <v>24</v>
      </c>
      <c r="D288" s="3">
        <f t="shared" si="316"/>
        <v>4</v>
      </c>
      <c r="E288" s="1">
        <f t="shared" si="296"/>
        <v>2043</v>
      </c>
      <c r="F288" s="3">
        <f t="shared" si="297"/>
        <v>81</v>
      </c>
      <c r="G288" s="3">
        <f t="shared" si="317"/>
        <v>284</v>
      </c>
      <c r="H288" s="4">
        <f t="shared" si="298"/>
        <v>18782.083087809886</v>
      </c>
      <c r="L288" s="25" t="str">
        <f t="shared" ca="1" si="309"/>
        <v/>
      </c>
      <c r="M288" s="4">
        <f t="shared" si="310"/>
        <v>18782.083087809886</v>
      </c>
      <c r="N288" s="5">
        <f t="shared" si="274"/>
        <v>2.18E-2</v>
      </c>
      <c r="O288" s="6">
        <f t="shared" si="311"/>
        <v>5.0499999999999996E-2</v>
      </c>
      <c r="P288" s="4">
        <f t="shared" si="306"/>
        <v>79.041266327866595</v>
      </c>
      <c r="Q288" s="7">
        <f t="shared" si="312"/>
        <v>1147.1423660440787</v>
      </c>
      <c r="R288" s="4">
        <f t="shared" si="314"/>
        <v>1068.101099716212</v>
      </c>
      <c r="S288" s="4">
        <f t="shared" si="307"/>
        <v>17713.981988093674</v>
      </c>
      <c r="T288" s="4" t="e">
        <f t="shared" si="315"/>
        <v>#REF!</v>
      </c>
      <c r="U288" s="4" t="e">
        <f t="shared" si="313"/>
        <v>#REF!</v>
      </c>
    </row>
    <row r="289" spans="3:21">
      <c r="C289" s="3">
        <f t="shared" si="308"/>
        <v>24</v>
      </c>
      <c r="D289" s="3">
        <f t="shared" si="316"/>
        <v>5</v>
      </c>
      <c r="E289" s="1">
        <f t="shared" si="296"/>
        <v>2043</v>
      </c>
      <c r="F289" s="3">
        <f t="shared" si="297"/>
        <v>81</v>
      </c>
      <c r="G289" s="3">
        <f t="shared" si="317"/>
        <v>285</v>
      </c>
      <c r="H289" s="4">
        <f t="shared" si="298"/>
        <v>17713.981988093674</v>
      </c>
      <c r="L289" s="25" t="str">
        <f t="shared" ca="1" si="309"/>
        <v/>
      </c>
      <c r="M289" s="4">
        <f t="shared" si="310"/>
        <v>17713.981988093674</v>
      </c>
      <c r="N289" s="5">
        <f t="shared" si="274"/>
        <v>2.18E-2</v>
      </c>
      <c r="O289" s="6">
        <f t="shared" si="311"/>
        <v>5.0499999999999996E-2</v>
      </c>
      <c r="P289" s="4">
        <f t="shared" si="306"/>
        <v>74.546340866560868</v>
      </c>
      <c r="Q289" s="7">
        <f t="shared" si="312"/>
        <v>1147.1423660440796</v>
      </c>
      <c r="R289" s="4">
        <f t="shared" si="314"/>
        <v>1072.5960251775186</v>
      </c>
      <c r="S289" s="4">
        <f t="shared" si="307"/>
        <v>16641.385962916156</v>
      </c>
      <c r="T289" s="4" t="e">
        <f t="shared" si="315"/>
        <v>#REF!</v>
      </c>
      <c r="U289" s="4" t="e">
        <f t="shared" si="313"/>
        <v>#REF!</v>
      </c>
    </row>
    <row r="290" spans="3:21">
      <c r="C290" s="3">
        <f t="shared" si="308"/>
        <v>24</v>
      </c>
      <c r="D290" s="3">
        <f t="shared" si="316"/>
        <v>6</v>
      </c>
      <c r="E290" s="1">
        <f t="shared" si="296"/>
        <v>2043</v>
      </c>
      <c r="F290" s="3">
        <f t="shared" si="297"/>
        <v>81</v>
      </c>
      <c r="G290" s="3">
        <f t="shared" si="317"/>
        <v>286</v>
      </c>
      <c r="H290" s="4">
        <f t="shared" si="298"/>
        <v>16641.385962916156</v>
      </c>
      <c r="L290" s="25" t="str">
        <f t="shared" ca="1" si="309"/>
        <v/>
      </c>
      <c r="M290" s="4">
        <f t="shared" si="310"/>
        <v>16641.385962916156</v>
      </c>
      <c r="N290" s="5">
        <f t="shared" si="274"/>
        <v>2.18E-2</v>
      </c>
      <c r="O290" s="6">
        <f t="shared" si="311"/>
        <v>5.0499999999999996E-2</v>
      </c>
      <c r="P290" s="4">
        <f t="shared" si="306"/>
        <v>70.032499260605491</v>
      </c>
      <c r="Q290" s="7">
        <f t="shared" si="312"/>
        <v>1147.142366044086</v>
      </c>
      <c r="R290" s="4">
        <f t="shared" si="314"/>
        <v>1077.1098667834806</v>
      </c>
      <c r="S290" s="4">
        <f t="shared" si="307"/>
        <v>15564.276096132675</v>
      </c>
      <c r="T290" s="4" t="e">
        <f t="shared" si="315"/>
        <v>#REF!</v>
      </c>
      <c r="U290" s="4" t="e">
        <f t="shared" si="313"/>
        <v>#REF!</v>
      </c>
    </row>
    <row r="291" spans="3:21">
      <c r="C291" s="3">
        <f t="shared" si="308"/>
        <v>24</v>
      </c>
      <c r="D291" s="3">
        <f t="shared" si="316"/>
        <v>7</v>
      </c>
      <c r="E291" s="1">
        <f t="shared" si="296"/>
        <v>2043</v>
      </c>
      <c r="F291" s="3">
        <f t="shared" si="297"/>
        <v>81</v>
      </c>
      <c r="G291" s="3">
        <f t="shared" si="317"/>
        <v>287</v>
      </c>
      <c r="H291" s="4">
        <f t="shared" si="298"/>
        <v>15564.276096132675</v>
      </c>
      <c r="L291" s="25" t="str">
        <f t="shared" ca="1" si="309"/>
        <v/>
      </c>
      <c r="M291" s="4">
        <f t="shared" si="310"/>
        <v>15564.276096132675</v>
      </c>
      <c r="N291" s="5">
        <f t="shared" si="274"/>
        <v>2.18E-2</v>
      </c>
      <c r="O291" s="6">
        <f t="shared" si="311"/>
        <v>5.0499999999999996E-2</v>
      </c>
      <c r="P291" s="4">
        <f t="shared" si="306"/>
        <v>65.499661904558337</v>
      </c>
      <c r="Q291" s="7">
        <f t="shared" si="312"/>
        <v>1147.1423660440796</v>
      </c>
      <c r="R291" s="4">
        <f t="shared" si="314"/>
        <v>1081.6427041395214</v>
      </c>
      <c r="S291" s="4">
        <f t="shared" si="307"/>
        <v>14482.633391993153</v>
      </c>
      <c r="T291" s="4" t="e">
        <f t="shared" si="315"/>
        <v>#REF!</v>
      </c>
      <c r="U291" s="4" t="e">
        <f t="shared" si="313"/>
        <v>#REF!</v>
      </c>
    </row>
    <row r="292" spans="3:21">
      <c r="C292" s="3">
        <f t="shared" si="308"/>
        <v>24</v>
      </c>
      <c r="D292" s="3">
        <f t="shared" si="316"/>
        <v>8</v>
      </c>
      <c r="E292" s="1">
        <f t="shared" si="296"/>
        <v>2043</v>
      </c>
      <c r="F292" s="3">
        <f t="shared" si="297"/>
        <v>81</v>
      </c>
      <c r="G292" s="3">
        <f t="shared" si="317"/>
        <v>288</v>
      </c>
      <c r="H292" s="4">
        <f t="shared" si="298"/>
        <v>14482.633391993153</v>
      </c>
      <c r="L292" s="25" t="str">
        <f t="shared" ca="1" si="309"/>
        <v/>
      </c>
      <c r="M292" s="4">
        <f t="shared" si="310"/>
        <v>14482.633391993153</v>
      </c>
      <c r="N292" s="5">
        <f t="shared" si="274"/>
        <v>2.18E-2</v>
      </c>
      <c r="O292" s="6">
        <f t="shared" si="311"/>
        <v>5.0499999999999996E-2</v>
      </c>
      <c r="P292" s="4">
        <f t="shared" si="306"/>
        <v>60.947748857971185</v>
      </c>
      <c r="Q292" s="7">
        <f t="shared" si="312"/>
        <v>1147.1423660440835</v>
      </c>
      <c r="R292" s="4">
        <f t="shared" si="314"/>
        <v>1086.1946171861123</v>
      </c>
      <c r="S292" s="4">
        <f t="shared" si="307"/>
        <v>13396.43877480704</v>
      </c>
      <c r="T292" s="4" t="e">
        <f t="shared" si="315"/>
        <v>#REF!</v>
      </c>
      <c r="U292" s="4" t="e">
        <f t="shared" si="313"/>
        <v>#REF!</v>
      </c>
    </row>
    <row r="293" spans="3:21">
      <c r="C293" s="3">
        <f t="shared" si="308"/>
        <v>25</v>
      </c>
      <c r="D293" s="3">
        <f t="shared" si="316"/>
        <v>9</v>
      </c>
      <c r="E293" s="1">
        <f t="shared" si="296"/>
        <v>2043</v>
      </c>
      <c r="F293" s="3">
        <f t="shared" si="297"/>
        <v>81</v>
      </c>
      <c r="G293" s="3">
        <f t="shared" si="317"/>
        <v>289</v>
      </c>
      <c r="H293" s="4">
        <f t="shared" si="298"/>
        <v>13396.43877480704</v>
      </c>
      <c r="L293" s="25" t="str">
        <f t="shared" ca="1" si="309"/>
        <v/>
      </c>
      <c r="M293" s="4">
        <f t="shared" si="310"/>
        <v>13396.43877480704</v>
      </c>
      <c r="N293" s="5">
        <f t="shared" si="274"/>
        <v>2.18E-2</v>
      </c>
      <c r="O293" s="6">
        <f t="shared" si="311"/>
        <v>5.0499999999999996E-2</v>
      </c>
      <c r="P293" s="4">
        <f t="shared" si="306"/>
        <v>56.376679843979623</v>
      </c>
      <c r="Q293" s="7">
        <f t="shared" si="312"/>
        <v>1147.1423660440832</v>
      </c>
      <c r="R293" s="4">
        <f t="shared" si="314"/>
        <v>1090.7656862001036</v>
      </c>
      <c r="S293" s="4">
        <f t="shared" si="307"/>
        <v>12305.673088606936</v>
      </c>
      <c r="T293" s="4" t="e">
        <f t="shared" si="315"/>
        <v>#REF!</v>
      </c>
      <c r="U293" s="4" t="e">
        <f t="shared" si="313"/>
        <v>#REF!</v>
      </c>
    </row>
    <row r="294" spans="3:21">
      <c r="C294" s="3">
        <f t="shared" si="308"/>
        <v>25</v>
      </c>
      <c r="D294" s="3">
        <f t="shared" si="316"/>
        <v>10</v>
      </c>
      <c r="E294" s="1">
        <f t="shared" si="296"/>
        <v>2043</v>
      </c>
      <c r="F294" s="3">
        <f t="shared" si="297"/>
        <v>81</v>
      </c>
      <c r="G294" s="3">
        <f t="shared" si="317"/>
        <v>290</v>
      </c>
      <c r="H294" s="4">
        <f t="shared" si="298"/>
        <v>12305.673088606936</v>
      </c>
      <c r="L294" s="25" t="str">
        <f t="shared" ca="1" si="309"/>
        <v/>
      </c>
      <c r="M294" s="4">
        <f t="shared" si="310"/>
        <v>12305.673088606936</v>
      </c>
      <c r="N294" s="5">
        <f t="shared" si="274"/>
        <v>2.18E-2</v>
      </c>
      <c r="O294" s="6">
        <f t="shared" si="311"/>
        <v>5.0499999999999996E-2</v>
      </c>
      <c r="P294" s="4">
        <f t="shared" si="306"/>
        <v>51.786374247887522</v>
      </c>
      <c r="Q294" s="7">
        <f t="shared" si="312"/>
        <v>1147.1423660440892</v>
      </c>
      <c r="R294" s="4">
        <f t="shared" si="314"/>
        <v>1095.3559917962016</v>
      </c>
      <c r="S294" s="4">
        <f t="shared" si="307"/>
        <v>11210.317096810735</v>
      </c>
      <c r="T294" s="4" t="e">
        <f t="shared" si="315"/>
        <v>#REF!</v>
      </c>
      <c r="U294" s="4" t="e">
        <f t="shared" si="313"/>
        <v>#REF!</v>
      </c>
    </row>
    <row r="295" spans="3:21">
      <c r="C295" s="3">
        <f t="shared" si="308"/>
        <v>25</v>
      </c>
      <c r="D295" s="3">
        <f t="shared" si="316"/>
        <v>11</v>
      </c>
      <c r="E295" s="1">
        <f t="shared" si="296"/>
        <v>2043</v>
      </c>
      <c r="F295" s="3">
        <f t="shared" si="297"/>
        <v>81</v>
      </c>
      <c r="G295" s="3">
        <f t="shared" si="317"/>
        <v>291</v>
      </c>
      <c r="H295" s="4">
        <f t="shared" si="298"/>
        <v>11210.317096810735</v>
      </c>
      <c r="L295" s="25" t="str">
        <f t="shared" ca="1" si="309"/>
        <v/>
      </c>
      <c r="M295" s="4">
        <f t="shared" si="310"/>
        <v>11210.317096810735</v>
      </c>
      <c r="N295" s="5">
        <f t="shared" si="274"/>
        <v>2.18E-2</v>
      </c>
      <c r="O295" s="6">
        <f t="shared" si="311"/>
        <v>5.0499999999999996E-2</v>
      </c>
      <c r="P295" s="4">
        <f t="shared" si="306"/>
        <v>47.176751115745169</v>
      </c>
      <c r="Q295" s="7">
        <f t="shared" si="312"/>
        <v>1147.1423660440867</v>
      </c>
      <c r="R295" s="4">
        <f t="shared" si="314"/>
        <v>1099.9656149283414</v>
      </c>
      <c r="S295" s="4">
        <f t="shared" si="307"/>
        <v>10110.351481882393</v>
      </c>
      <c r="T295" s="4" t="e">
        <f t="shared" si="315"/>
        <v>#REF!</v>
      </c>
      <c r="U295" s="4" t="e">
        <f t="shared" si="313"/>
        <v>#REF!</v>
      </c>
    </row>
    <row r="296" spans="3:21">
      <c r="C296" s="3">
        <f t="shared" si="308"/>
        <v>25</v>
      </c>
      <c r="D296" s="3">
        <f t="shared" si="316"/>
        <v>12</v>
      </c>
      <c r="E296" s="1">
        <f t="shared" si="296"/>
        <v>2043</v>
      </c>
      <c r="F296" s="3">
        <f t="shared" si="297"/>
        <v>81</v>
      </c>
      <c r="G296" s="3">
        <f t="shared" si="317"/>
        <v>292</v>
      </c>
      <c r="H296" s="4">
        <f t="shared" si="298"/>
        <v>10110.351481882393</v>
      </c>
      <c r="L296" s="25" t="str">
        <f t="shared" ca="1" si="309"/>
        <v/>
      </c>
      <c r="M296" s="4">
        <f t="shared" si="310"/>
        <v>10110.351481882393</v>
      </c>
      <c r="N296" s="5">
        <f t="shared" si="274"/>
        <v>2.18E-2</v>
      </c>
      <c r="O296" s="6">
        <f t="shared" si="311"/>
        <v>5.0499999999999996E-2</v>
      </c>
      <c r="P296" s="4">
        <f t="shared" si="306"/>
        <v>42.54772915292174</v>
      </c>
      <c r="Q296" s="7">
        <f t="shared" si="312"/>
        <v>1147.1423660440935</v>
      </c>
      <c r="R296" s="4">
        <f t="shared" si="314"/>
        <v>1104.5946368911718</v>
      </c>
      <c r="S296" s="4">
        <f t="shared" si="307"/>
        <v>9005.7568449912214</v>
      </c>
      <c r="T296" s="4" t="e">
        <f t="shared" si="315"/>
        <v>#REF!</v>
      </c>
      <c r="U296" s="4" t="e">
        <f t="shared" si="313"/>
        <v>#REF!</v>
      </c>
    </row>
    <row r="297" spans="3:21">
      <c r="C297" s="3">
        <f t="shared" si="308"/>
        <v>25</v>
      </c>
      <c r="D297" s="3">
        <f t="shared" si="316"/>
        <v>1</v>
      </c>
      <c r="E297" s="1">
        <f t="shared" si="296"/>
        <v>2044</v>
      </c>
      <c r="F297" s="3">
        <f t="shared" si="297"/>
        <v>81</v>
      </c>
      <c r="G297" s="3">
        <f t="shared" si="317"/>
        <v>293</v>
      </c>
      <c r="H297" s="4">
        <f t="shared" si="298"/>
        <v>9005.7568449912214</v>
      </c>
      <c r="L297" s="25" t="str">
        <f t="shared" ca="1" si="309"/>
        <v/>
      </c>
      <c r="M297" s="4">
        <f t="shared" si="310"/>
        <v>9005.7568449912214</v>
      </c>
      <c r="N297" s="5">
        <f t="shared" si="274"/>
        <v>2.18E-2</v>
      </c>
      <c r="O297" s="6">
        <f t="shared" si="311"/>
        <v>5.0499999999999996E-2</v>
      </c>
      <c r="P297" s="4">
        <f t="shared" si="306"/>
        <v>37.899226722671386</v>
      </c>
      <c r="Q297" s="7">
        <f t="shared" si="312"/>
        <v>1147.1423660440953</v>
      </c>
      <c r="R297" s="4">
        <f t="shared" si="314"/>
        <v>1109.243139321424</v>
      </c>
      <c r="S297" s="4">
        <f t="shared" si="307"/>
        <v>7896.5137056697977</v>
      </c>
      <c r="T297" s="4" t="e">
        <f t="shared" si="315"/>
        <v>#REF!</v>
      </c>
      <c r="U297" s="4" t="e">
        <f t="shared" si="313"/>
        <v>#REF!</v>
      </c>
    </row>
    <row r="298" spans="3:21">
      <c r="C298" s="3">
        <f t="shared" si="308"/>
        <v>25</v>
      </c>
      <c r="D298" s="3">
        <f t="shared" si="316"/>
        <v>2</v>
      </c>
      <c r="E298" s="1">
        <f t="shared" si="296"/>
        <v>2044</v>
      </c>
      <c r="F298" s="3">
        <f t="shared" si="297"/>
        <v>82</v>
      </c>
      <c r="G298" s="3">
        <f t="shared" si="317"/>
        <v>294</v>
      </c>
      <c r="H298" s="4">
        <f t="shared" si="298"/>
        <v>7896.5137056697977</v>
      </c>
      <c r="L298" s="25" t="str">
        <f t="shared" ca="1" si="309"/>
        <v/>
      </c>
      <c r="M298" s="4">
        <f t="shared" si="310"/>
        <v>7896.5137056697977</v>
      </c>
      <c r="N298" s="5">
        <f t="shared" si="274"/>
        <v>2.18E-2</v>
      </c>
      <c r="O298" s="6">
        <f t="shared" si="311"/>
        <v>5.0499999999999996E-2</v>
      </c>
      <c r="P298" s="4">
        <f t="shared" si="306"/>
        <v>33.23116184469373</v>
      </c>
      <c r="Q298" s="7">
        <f t="shared" si="312"/>
        <v>1147.1423660441023</v>
      </c>
      <c r="R298" s="4">
        <f t="shared" si="314"/>
        <v>1113.9112041994085</v>
      </c>
      <c r="S298" s="4">
        <f t="shared" si="307"/>
        <v>6782.6025014703891</v>
      </c>
      <c r="T298" s="4" t="e">
        <f t="shared" si="315"/>
        <v>#REF!</v>
      </c>
      <c r="U298" s="4" t="e">
        <f t="shared" si="313"/>
        <v>#REF!</v>
      </c>
    </row>
    <row r="299" spans="3:21">
      <c r="C299" s="3">
        <f t="shared" si="308"/>
        <v>25</v>
      </c>
      <c r="D299" s="3">
        <f t="shared" si="316"/>
        <v>3</v>
      </c>
      <c r="E299" s="1">
        <f t="shared" si="296"/>
        <v>2044</v>
      </c>
      <c r="F299" s="3">
        <f t="shared" si="297"/>
        <v>82</v>
      </c>
      <c r="G299" s="3">
        <f t="shared" si="317"/>
        <v>295</v>
      </c>
      <c r="H299" s="4">
        <f t="shared" si="298"/>
        <v>6782.6025014703891</v>
      </c>
      <c r="L299" s="25" t="str">
        <f t="shared" ca="1" si="309"/>
        <v/>
      </c>
      <c r="M299" s="4">
        <f t="shared" si="310"/>
        <v>6782.6025014703891</v>
      </c>
      <c r="N299" s="5">
        <f t="shared" si="274"/>
        <v>2.18E-2</v>
      </c>
      <c r="O299" s="6">
        <f t="shared" si="311"/>
        <v>5.0499999999999996E-2</v>
      </c>
      <c r="P299" s="4">
        <f t="shared" si="306"/>
        <v>28.543452193687884</v>
      </c>
      <c r="Q299" s="7">
        <f t="shared" si="312"/>
        <v>1147.1423660440958</v>
      </c>
      <c r="R299" s="4">
        <f t="shared" si="314"/>
        <v>1118.5989138504078</v>
      </c>
      <c r="S299" s="4">
        <f t="shared" si="307"/>
        <v>5664.0035876199818</v>
      </c>
      <c r="T299" s="4" t="e">
        <f t="shared" si="315"/>
        <v>#REF!</v>
      </c>
      <c r="U299" s="4" t="e">
        <f t="shared" si="313"/>
        <v>#REF!</v>
      </c>
    </row>
    <row r="300" spans="3:21">
      <c r="C300" s="3">
        <f t="shared" si="308"/>
        <v>25</v>
      </c>
      <c r="D300" s="3">
        <f t="shared" si="316"/>
        <v>4</v>
      </c>
      <c r="E300" s="1">
        <f t="shared" si="296"/>
        <v>2044</v>
      </c>
      <c r="F300" s="3">
        <f t="shared" si="297"/>
        <v>82</v>
      </c>
      <c r="G300" s="3">
        <f t="shared" si="317"/>
        <v>296</v>
      </c>
      <c r="H300" s="4">
        <f t="shared" si="298"/>
        <v>5664.0035876199818</v>
      </c>
      <c r="L300" s="25" t="str">
        <f t="shared" ca="1" si="309"/>
        <v/>
      </c>
      <c r="M300" s="4">
        <f t="shared" si="310"/>
        <v>5664.0035876199818</v>
      </c>
      <c r="N300" s="5">
        <f t="shared" ref="N300:N304" si="318">N299</f>
        <v>2.18E-2</v>
      </c>
      <c r="O300" s="6">
        <f t="shared" si="311"/>
        <v>5.0499999999999996E-2</v>
      </c>
      <c r="P300" s="4">
        <f t="shared" si="306"/>
        <v>23.836015097900756</v>
      </c>
      <c r="Q300" s="7">
        <f t="shared" si="312"/>
        <v>1147.1423660440985</v>
      </c>
      <c r="R300" s="4">
        <f t="shared" si="314"/>
        <v>1123.3063509461977</v>
      </c>
      <c r="S300" s="4">
        <f t="shared" si="307"/>
        <v>4540.6972366737846</v>
      </c>
      <c r="T300" s="4" t="e">
        <f t="shared" si="315"/>
        <v>#REF!</v>
      </c>
      <c r="U300" s="4" t="e">
        <f t="shared" si="313"/>
        <v>#REF!</v>
      </c>
    </row>
    <row r="301" spans="3:21">
      <c r="C301" s="3">
        <f t="shared" si="308"/>
        <v>25</v>
      </c>
      <c r="D301" s="3">
        <f t="shared" si="316"/>
        <v>5</v>
      </c>
      <c r="E301" s="1">
        <f t="shared" si="296"/>
        <v>2044</v>
      </c>
      <c r="F301" s="3">
        <f t="shared" si="297"/>
        <v>82</v>
      </c>
      <c r="G301" s="3">
        <f t="shared" si="317"/>
        <v>297</v>
      </c>
      <c r="H301" s="4">
        <f t="shared" si="298"/>
        <v>4540.6972366737846</v>
      </c>
      <c r="L301" s="25" t="str">
        <f t="shared" ca="1" si="309"/>
        <v/>
      </c>
      <c r="M301" s="4">
        <f t="shared" si="310"/>
        <v>4540.6972366737846</v>
      </c>
      <c r="N301" s="5">
        <f t="shared" si="318"/>
        <v>2.18E-2</v>
      </c>
      <c r="O301" s="6">
        <f t="shared" si="311"/>
        <v>5.0499999999999996E-2</v>
      </c>
      <c r="P301" s="4">
        <f t="shared" si="306"/>
        <v>19.108767537668843</v>
      </c>
      <c r="Q301" s="7">
        <f t="shared" si="312"/>
        <v>1147.1423660441098</v>
      </c>
      <c r="R301" s="4">
        <f t="shared" si="314"/>
        <v>1128.033598506441</v>
      </c>
      <c r="S301" s="4">
        <f t="shared" si="307"/>
        <v>3412.6636381673434</v>
      </c>
      <c r="T301" s="4" t="e">
        <f t="shared" si="315"/>
        <v>#REF!</v>
      </c>
      <c r="U301" s="4" t="e">
        <f t="shared" si="313"/>
        <v>#REF!</v>
      </c>
    </row>
    <row r="302" spans="3:21">
      <c r="C302" s="3">
        <f t="shared" si="308"/>
        <v>25</v>
      </c>
      <c r="D302" s="3">
        <f t="shared" si="316"/>
        <v>6</v>
      </c>
      <c r="E302" s="1">
        <f t="shared" si="296"/>
        <v>2044</v>
      </c>
      <c r="F302" s="3">
        <f t="shared" si="297"/>
        <v>82</v>
      </c>
      <c r="G302" s="3">
        <f t="shared" si="317"/>
        <v>298</v>
      </c>
      <c r="H302" s="4">
        <f t="shared" si="298"/>
        <v>3412.6636381673434</v>
      </c>
      <c r="L302" s="25" t="str">
        <f t="shared" ca="1" si="309"/>
        <v/>
      </c>
      <c r="M302" s="4">
        <f t="shared" si="310"/>
        <v>3412.6636381673434</v>
      </c>
      <c r="N302" s="5">
        <f t="shared" si="318"/>
        <v>2.18E-2</v>
      </c>
      <c r="O302" s="6">
        <f t="shared" si="311"/>
        <v>5.0499999999999996E-2</v>
      </c>
      <c r="P302" s="4">
        <f t="shared" si="306"/>
        <v>14.361626143954235</v>
      </c>
      <c r="Q302" s="7">
        <f t="shared" si="312"/>
        <v>1147.1423660441239</v>
      </c>
      <c r="R302" s="4">
        <f t="shared" si="314"/>
        <v>1132.7807399001697</v>
      </c>
      <c r="S302" s="4">
        <f t="shared" si="307"/>
        <v>2279.8828982671739</v>
      </c>
      <c r="T302" s="4" t="e">
        <f t="shared" si="315"/>
        <v>#REF!</v>
      </c>
      <c r="U302" s="4" t="e">
        <f t="shared" si="313"/>
        <v>#REF!</v>
      </c>
    </row>
    <row r="303" spans="3:21">
      <c r="C303" s="3">
        <f t="shared" si="308"/>
        <v>25</v>
      </c>
      <c r="D303" s="3">
        <f t="shared" si="316"/>
        <v>7</v>
      </c>
      <c r="E303" s="1">
        <f t="shared" si="296"/>
        <v>2044</v>
      </c>
      <c r="F303" s="3">
        <f t="shared" si="297"/>
        <v>82</v>
      </c>
      <c r="G303" s="3">
        <f t="shared" si="317"/>
        <v>299</v>
      </c>
      <c r="H303" s="4">
        <f t="shared" si="298"/>
        <v>2279.8828982671739</v>
      </c>
      <c r="L303" s="25" t="str">
        <f t="shared" ca="1" si="309"/>
        <v/>
      </c>
      <c r="M303" s="4">
        <f t="shared" si="310"/>
        <v>2279.8828982671739</v>
      </c>
      <c r="N303" s="5">
        <f t="shared" si="318"/>
        <v>2.18E-2</v>
      </c>
      <c r="O303" s="6">
        <f t="shared" si="311"/>
        <v>5.0499999999999996E-2</v>
      </c>
      <c r="P303" s="4">
        <f t="shared" si="306"/>
        <v>9.5945071968743552</v>
      </c>
      <c r="Q303" s="7">
        <f t="shared" si="312"/>
        <v>1147.1423660441146</v>
      </c>
      <c r="R303" s="4">
        <f t="shared" si="314"/>
        <v>1137.5478588472404</v>
      </c>
      <c r="S303" s="4">
        <f t="shared" si="307"/>
        <v>1142.3350394199335</v>
      </c>
      <c r="T303" s="4" t="e">
        <f t="shared" si="315"/>
        <v>#REF!</v>
      </c>
      <c r="U303" s="4" t="e">
        <f t="shared" si="313"/>
        <v>#REF!</v>
      </c>
    </row>
    <row r="304" spans="3:21">
      <c r="C304" s="3">
        <f t="shared" ref="C304" si="319">IF(G304/12=INT(G304/12),INT(G304/12),INT(G304/12)+1)</f>
        <v>25</v>
      </c>
      <c r="D304" s="3">
        <f t="shared" si="316"/>
        <v>8</v>
      </c>
      <c r="E304" s="1">
        <f t="shared" ref="E304" si="320">IF(D304=1,E303+1,E303)</f>
        <v>2044</v>
      </c>
      <c r="F304" s="3">
        <f t="shared" ref="F304" si="321">ROUND(((E304-1962)*12+D304-8)/12,0)</f>
        <v>82</v>
      </c>
      <c r="G304" s="3">
        <f t="shared" si="317"/>
        <v>300</v>
      </c>
      <c r="H304" s="4">
        <f t="shared" ref="H304" si="322">S303</f>
        <v>1142.3350394199335</v>
      </c>
      <c r="L304" s="25" t="str">
        <f t="shared" ref="L304" ca="1" si="323">IF(AND(YEAR(TODAY())=E304,MONTH(TODAY())=D304),"current","")</f>
        <v/>
      </c>
      <c r="M304" s="4">
        <f t="shared" ref="M304" si="324">H304-I304-J304-K304</f>
        <v>1142.3350394199335</v>
      </c>
      <c r="N304" s="5">
        <f t="shared" si="318"/>
        <v>2.18E-2</v>
      </c>
      <c r="O304" s="6">
        <f t="shared" ref="O304" si="325">N304+$B$22+$B$23</f>
        <v>5.0499999999999996E-2</v>
      </c>
      <c r="P304" s="4">
        <f t="shared" ref="P304" si="326">M304*O304/12</f>
        <v>4.8073266242255537</v>
      </c>
      <c r="Q304" s="7">
        <f t="shared" ref="Q304" si="327">IF(C304&gt;$B$6,0,(M304/((1-(1+O304/12)^-($B$6*12-G304+1))/(O304/12))))</f>
        <v>1147.1423660441594</v>
      </c>
      <c r="R304" s="4">
        <f t="shared" ref="R304" si="328">Q304-P304</f>
        <v>1142.3350394199338</v>
      </c>
      <c r="S304" s="4">
        <f t="shared" ref="S304" si="329">M304-R304</f>
        <v>0</v>
      </c>
    </row>
    <row r="305" spans="12:12">
      <c r="L305" s="25"/>
    </row>
    <row r="306" spans="12:12">
      <c r="L306" s="25"/>
    </row>
    <row r="307" spans="12:12">
      <c r="L307" s="25"/>
    </row>
  </sheetData>
  <mergeCells count="20">
    <mergeCell ref="K3:K4"/>
    <mergeCell ref="T3:T4"/>
    <mergeCell ref="U3:U4"/>
    <mergeCell ref="L3:L4"/>
    <mergeCell ref="AW5:BB5"/>
    <mergeCell ref="AQ5:AS5"/>
    <mergeCell ref="AT5:AV5"/>
    <mergeCell ref="AE4:AG4"/>
    <mergeCell ref="AE5:AG5"/>
    <mergeCell ref="Y19:AA19"/>
    <mergeCell ref="Y20:AA20"/>
    <mergeCell ref="Y13:AA13"/>
    <mergeCell ref="Y15:AA15"/>
    <mergeCell ref="Y11:AA11"/>
    <mergeCell ref="Y14:AA14"/>
    <mergeCell ref="Y7:AE7"/>
    <mergeCell ref="Y9:AA9"/>
    <mergeCell ref="Y10:AA10"/>
    <mergeCell ref="Y12:AA12"/>
    <mergeCell ref="AN5:AP5"/>
  </mergeCells>
  <phoneticPr fontId="3" type="noConversion"/>
  <hyperlinks>
    <hyperlink ref="A49" r:id="rId1"/>
    <hyperlink ref="A51" r:id="rId2" display="https://www.ecb.europa.eu/home/html/index.en.html"/>
    <hyperlink ref="A53" r:id="rId3" display="https://www.euribor-rates.eu/en/euribor-charts/"/>
    <hyperlink ref="A55" r:id="rId4" display="https://www.bankofgreece.gr/statistika/xrhmatopistwtikes-agores/epitokia-anaforas-ekt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Loan</vt:lpstr>
      <vt:lpstr>Sheet1</vt:lpstr>
      <vt:lpstr>amort</vt:lpstr>
      <vt:lpstr>Eur3M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Minos Moissis</dc:creator>
  <cp:lastModifiedBy>Pantelis Arsenis</cp:lastModifiedBy>
  <dcterms:created xsi:type="dcterms:W3CDTF">2022-09-03T17:11:15Z</dcterms:created>
  <dcterms:modified xsi:type="dcterms:W3CDTF">2022-09-21T16:17:21Z</dcterms:modified>
</cp:coreProperties>
</file>